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customXml/itemProps1.xml" ContentType="application/vnd.openxmlformats-officedocument.customXmlProperti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richData/rdrichvalue.xml" ContentType="application/vnd.ms-excel.rdrichvalu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richData/richValueRel.xml" ContentType="application/vnd.ms-excel.richvaluerel+xml"/>
  <Override PartName="/xl/sharedStrings.xml" ContentType="application/vnd.openxmlformats-officedocument.spreadsheetml.sharedStrings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12375" yWindow="-120" windowWidth="14070" windowHeight="11490" tabRatio="867" firstSheet="2" activeTab="2"/>
  </bookViews>
  <sheets>
    <sheet name="CRONOGRAMA FÍSICO-FINANCEIRO" sheetId="20" state="hidden" r:id="rId1"/>
    <sheet name="BDI " sheetId="24" state="hidden" r:id="rId2"/>
    <sheet name="Resumo" sheetId="31" r:id="rId3"/>
    <sheet name="CANTEIRO" sheetId="28" r:id="rId4"/>
    <sheet name="MACROS" sheetId="29" r:id="rId5"/>
    <sheet name="VRPS" sheetId="30" r:id="rId6"/>
    <sheet name="Composições" sheetId="32" r:id="rId7"/>
    <sheet name="Cronograma " sheetId="26" r:id="rId8"/>
    <sheet name="Cotação" sheetId="27" state="hidden" r:id="rId9"/>
  </sheets>
  <externalReferences>
    <externalReference r:id="rId10"/>
  </externalReferences>
  <definedNames>
    <definedName name="_xlnm.Print_Area" localSheetId="1">'BDI '!$A$2:$H$56</definedName>
    <definedName name="_xlnm.Print_Area" localSheetId="3">CANTEIRO!$A$1:$I$46</definedName>
    <definedName name="_xlnm.Print_Area" localSheetId="6">Composições!$A$1:$F$63</definedName>
    <definedName name="_xlnm.Print_Area" localSheetId="7">'Cronograma '!$A$1:$I$24</definedName>
    <definedName name="_xlnm.Print_Area" localSheetId="0">'CRONOGRAMA FÍSICO-FINANCEIRO'!$B$2:$P$22</definedName>
    <definedName name="_xlnm.Print_Area" localSheetId="4">MACROS!$A$1:$I$268</definedName>
    <definedName name="_xlnm.Print_Area" localSheetId="5">VRPS!$A$1:$I$453</definedName>
    <definedName name="cronog">#REF!</definedName>
    <definedName name="Excel_BuiltIn_Print_Area_1" localSheetId="1">#REF!</definedName>
    <definedName name="Excel_BuiltIn_Print_Area_1">#REF!</definedName>
    <definedName name="Excel_BuiltIn_Print_Area_1_1" localSheetId="1">#REF!</definedName>
    <definedName name="Excel_BuiltIn_Print_Area_1_1">#REF!</definedName>
    <definedName name="Excel_BuiltIn_Print_Titles_1_1" localSheetId="1">#REF!</definedName>
    <definedName name="Excel_BuiltIn_Print_Titles_1_1">#REF!</definedName>
    <definedName name="Excel_BuiltIn_Print_Titles_1_1_1" localSheetId="1">#REF!</definedName>
    <definedName name="Excel_BuiltIn_Print_Titles_1_1_1">#REF!</definedName>
    <definedName name="TABLE_10_2" localSheetId="1">#REF!</definedName>
    <definedName name="TABLE_10_2">#REF!</definedName>
    <definedName name="TABLE_11_2" localSheetId="1">#REF!</definedName>
    <definedName name="TABLE_11_2">#REF!</definedName>
    <definedName name="TABLE_12_2" localSheetId="1">#REF!</definedName>
    <definedName name="TABLE_12_2">#REF!</definedName>
    <definedName name="TABLE_13_2" localSheetId="1">#REF!</definedName>
    <definedName name="TABLE_13_2">#REF!</definedName>
    <definedName name="TABLE_14_2" localSheetId="1">#REF!</definedName>
    <definedName name="TABLE_14_2">#REF!</definedName>
    <definedName name="TABLE_15_2" localSheetId="1">#REF!</definedName>
    <definedName name="TABLE_15_2">#REF!</definedName>
    <definedName name="TABLE_16_2" localSheetId="1">#REF!</definedName>
    <definedName name="TABLE_16_2">#REF!</definedName>
    <definedName name="TABLE_17_2" localSheetId="1">#REF!</definedName>
    <definedName name="TABLE_17_2">#REF!</definedName>
    <definedName name="TABLE_18_2" localSheetId="1">#REF!</definedName>
    <definedName name="TABLE_18_2">#REF!</definedName>
    <definedName name="TABLE_19_2" localSheetId="1">#REF!</definedName>
    <definedName name="TABLE_19_2">#REF!</definedName>
    <definedName name="TABLE_2" localSheetId="1">#REF!</definedName>
    <definedName name="TABLE_2">#REF!</definedName>
    <definedName name="TABLE_2_2" localSheetId="1">#REF!</definedName>
    <definedName name="TABLE_2_2">#REF!</definedName>
    <definedName name="TABLE_20_2" localSheetId="1">#REF!</definedName>
    <definedName name="TABLE_20_2">#REF!</definedName>
    <definedName name="TABLE_21_2" localSheetId="1">#REF!</definedName>
    <definedName name="TABLE_21_2">#REF!</definedName>
    <definedName name="TABLE_22_2" localSheetId="1">#REF!</definedName>
    <definedName name="TABLE_22_2">#REF!</definedName>
    <definedName name="TABLE_23_2" localSheetId="1">#REF!</definedName>
    <definedName name="TABLE_23_2">#REF!</definedName>
    <definedName name="TABLE_24_2" localSheetId="1">#REF!</definedName>
    <definedName name="TABLE_24_2">#REF!</definedName>
    <definedName name="TABLE_25_2" localSheetId="1">#REF!</definedName>
    <definedName name="TABLE_25_2">#REF!</definedName>
    <definedName name="TABLE_26_2" localSheetId="1">#REF!</definedName>
    <definedName name="TABLE_26_2">#REF!</definedName>
    <definedName name="TABLE_27_2" localSheetId="1">#REF!</definedName>
    <definedName name="TABLE_27_2">#REF!</definedName>
    <definedName name="TABLE_28_2" localSheetId="1">#REF!</definedName>
    <definedName name="TABLE_28_2">#REF!</definedName>
    <definedName name="TABLE_29_2" localSheetId="1">#REF!</definedName>
    <definedName name="TABLE_29_2">#REF!</definedName>
    <definedName name="TABLE_3_2" localSheetId="1">#REF!</definedName>
    <definedName name="TABLE_3_2">#REF!</definedName>
    <definedName name="TABLE_30_2" localSheetId="1">#REF!</definedName>
    <definedName name="TABLE_30_2">#REF!</definedName>
    <definedName name="TABLE_31_2" localSheetId="1">#REF!</definedName>
    <definedName name="TABLE_31_2">#REF!</definedName>
    <definedName name="TABLE_32_2" localSheetId="1">#REF!</definedName>
    <definedName name="TABLE_32_2">#REF!</definedName>
    <definedName name="TABLE_33_1" localSheetId="1">#REF!</definedName>
    <definedName name="TABLE_33_1">#REF!</definedName>
    <definedName name="TABLE_33_2" localSheetId="1">#REF!</definedName>
    <definedName name="TABLE_33_2">#REF!</definedName>
    <definedName name="TABLE_34_2" localSheetId="1">#REF!</definedName>
    <definedName name="TABLE_34_2">#REF!</definedName>
    <definedName name="TABLE_35_2" localSheetId="1">#REF!</definedName>
    <definedName name="TABLE_35_2">#REF!</definedName>
    <definedName name="TABLE_36_2" localSheetId="1">#REF!</definedName>
    <definedName name="TABLE_36_2">#REF!</definedName>
    <definedName name="TABLE_37_2" localSheetId="1">#REF!</definedName>
    <definedName name="TABLE_37_2">#REF!</definedName>
    <definedName name="TABLE_38_2" localSheetId="1">#REF!</definedName>
    <definedName name="TABLE_38_2">#REF!</definedName>
    <definedName name="TABLE_39_2" localSheetId="1">#REF!</definedName>
    <definedName name="TABLE_39_2">#REF!</definedName>
    <definedName name="TABLE_4_2" localSheetId="1">#REF!</definedName>
    <definedName name="TABLE_4_2">#REF!</definedName>
    <definedName name="TABLE_40_2" localSheetId="1">#REF!</definedName>
    <definedName name="TABLE_40_2">#REF!</definedName>
    <definedName name="TABLE_41_2" localSheetId="1">#REF!</definedName>
    <definedName name="TABLE_41_2">#REF!</definedName>
    <definedName name="TABLE_42_2" localSheetId="1">#REF!</definedName>
    <definedName name="TABLE_42_2">#REF!</definedName>
    <definedName name="TABLE_43_2" localSheetId="1">#REF!</definedName>
    <definedName name="TABLE_43_2">#REF!</definedName>
    <definedName name="TABLE_44_2" localSheetId="1">#REF!</definedName>
    <definedName name="TABLE_44_2">#REF!</definedName>
    <definedName name="TABLE_45_2" localSheetId="1">#REF!</definedName>
    <definedName name="TABLE_45_2">#REF!</definedName>
    <definedName name="TABLE_46_2" localSheetId="1">#REF!</definedName>
    <definedName name="TABLE_46_2">#REF!</definedName>
    <definedName name="TABLE_47_2" localSheetId="1">#REF!</definedName>
    <definedName name="TABLE_47_2">#REF!</definedName>
    <definedName name="TABLE_48_2" localSheetId="1">#REF!</definedName>
    <definedName name="TABLE_48_2">#REF!</definedName>
    <definedName name="TABLE_5_2" localSheetId="1">#REF!</definedName>
    <definedName name="TABLE_5_2">#REF!</definedName>
    <definedName name="TABLE_6_2" localSheetId="1">#REF!</definedName>
    <definedName name="TABLE_6_2">#REF!</definedName>
    <definedName name="TABLE_7_2" localSheetId="1">#REF!</definedName>
    <definedName name="TABLE_7_2">#REF!</definedName>
    <definedName name="TABLE_8_2" localSheetId="1">#REF!</definedName>
    <definedName name="TABLE_8_2">#REF!</definedName>
    <definedName name="TABLE_9_2" localSheetId="1">#REF!</definedName>
    <definedName name="TABLE_9_2">#REF!</definedName>
    <definedName name="_xlnm.Print_Titles" localSheetId="7">'Cronograma '!$1:$6</definedName>
    <definedName name="_xlnm.Print_Titles" localSheetId="0">'CRONOGRAMA FÍSICO-FINANCEIRO'!$B:$D,'CRONOGRAMA FÍSICO-FINANCEIRO'!$2:$3</definedName>
  </definedName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40" i="30"/>
  <c r="H439"/>
  <c r="H438"/>
  <c r="H436"/>
  <c r="H435"/>
  <c r="H433"/>
  <c r="H432"/>
  <c r="H431"/>
  <c r="H430"/>
  <c r="H424"/>
  <c r="H423"/>
  <c r="H421"/>
  <c r="H419"/>
  <c r="H418"/>
  <c r="H417"/>
  <c r="H411"/>
  <c r="H410"/>
  <c r="H408"/>
  <c r="H407"/>
  <c r="H406"/>
  <c r="H405"/>
  <c r="H403"/>
  <c r="H401"/>
  <c r="H400"/>
  <c r="H399"/>
  <c r="H398"/>
  <c r="H396"/>
  <c r="H395"/>
  <c r="H394"/>
  <c r="H393"/>
  <c r="H391"/>
  <c r="H390"/>
  <c r="H389"/>
  <c r="H388"/>
  <c r="H387"/>
  <c r="H386"/>
  <c r="H385"/>
  <c r="H384"/>
  <c r="H383"/>
  <c r="H379"/>
  <c r="H378"/>
  <c r="H376"/>
  <c r="H374"/>
  <c r="H373"/>
  <c r="H372"/>
  <c r="H368"/>
  <c r="H367"/>
  <c r="H366"/>
  <c r="H365"/>
  <c r="H364"/>
  <c r="H363"/>
  <c r="H359"/>
  <c r="H355"/>
  <c r="H353"/>
  <c r="H349"/>
  <c r="H348"/>
  <c r="H347"/>
  <c r="H345"/>
  <c r="H343"/>
  <c r="H336"/>
  <c r="H335"/>
  <c r="H333"/>
  <c r="H332"/>
  <c r="H331"/>
  <c r="H329"/>
  <c r="H327"/>
  <c r="H326"/>
  <c r="H325"/>
  <c r="H323"/>
  <c r="H322"/>
  <c r="H321"/>
  <c r="H319"/>
  <c r="H318"/>
  <c r="H317"/>
  <c r="H316"/>
  <c r="H315"/>
  <c r="H314"/>
  <c r="H313"/>
  <c r="H312"/>
  <c r="H311"/>
  <c r="H307"/>
  <c r="H306"/>
  <c r="H304"/>
  <c r="H302"/>
  <c r="H301"/>
  <c r="H300"/>
  <c r="H296"/>
  <c r="H292"/>
  <c r="H290"/>
  <c r="H286"/>
  <c r="H279"/>
  <c r="H278"/>
  <c r="H276"/>
  <c r="H275"/>
  <c r="H274"/>
  <c r="H273"/>
  <c r="H271"/>
  <c r="H269"/>
  <c r="H268"/>
  <c r="H267"/>
  <c r="H266"/>
  <c r="H264"/>
  <c r="H263"/>
  <c r="H262"/>
  <c r="H261"/>
  <c r="H259"/>
  <c r="H258"/>
  <c r="H257"/>
  <c r="H256"/>
  <c r="H255"/>
  <c r="H254"/>
  <c r="H253"/>
  <c r="H252"/>
  <c r="H251"/>
  <c r="H247"/>
  <c r="H246"/>
  <c r="H244"/>
  <c r="H242"/>
  <c r="H241"/>
  <c r="H240"/>
  <c r="H236"/>
  <c r="H235"/>
  <c r="H234"/>
  <c r="H233"/>
  <c r="H232"/>
  <c r="H231"/>
  <c r="H227"/>
  <c r="H223"/>
  <c r="H221"/>
  <c r="H217"/>
  <c r="H216"/>
  <c r="H215"/>
  <c r="H213"/>
  <c r="H211"/>
  <c r="H204"/>
  <c r="H203"/>
  <c r="H201"/>
  <c r="H200"/>
  <c r="H199"/>
  <c r="H198"/>
  <c r="H196"/>
  <c r="H194"/>
  <c r="H193"/>
  <c r="H192"/>
  <c r="H191"/>
  <c r="H189"/>
  <c r="H188"/>
  <c r="H187"/>
  <c r="H186"/>
  <c r="H184"/>
  <c r="H183"/>
  <c r="H182"/>
  <c r="H181"/>
  <c r="H180"/>
  <c r="H179"/>
  <c r="H178"/>
  <c r="H177"/>
  <c r="H176"/>
  <c r="H172"/>
  <c r="H171"/>
  <c r="H169"/>
  <c r="H167"/>
  <c r="H166"/>
  <c r="H165"/>
  <c r="H161"/>
  <c r="H160"/>
  <c r="H159"/>
  <c r="H158"/>
  <c r="H157"/>
  <c r="H156"/>
  <c r="H152"/>
  <c r="H148"/>
  <c r="H146"/>
  <c r="H142"/>
  <c r="H141"/>
  <c r="H140"/>
  <c r="H138"/>
  <c r="H136"/>
  <c r="H129"/>
  <c r="H128"/>
  <c r="H126"/>
  <c r="H125"/>
  <c r="H124"/>
  <c r="H123"/>
  <c r="H121"/>
  <c r="H119"/>
  <c r="H118"/>
  <c r="H117"/>
  <c r="H116"/>
  <c r="H114"/>
  <c r="H113"/>
  <c r="H112"/>
  <c r="H111"/>
  <c r="H109"/>
  <c r="H108"/>
  <c r="H107"/>
  <c r="H106"/>
  <c r="H105"/>
  <c r="H104"/>
  <c r="H103"/>
  <c r="H102"/>
  <c r="H101"/>
  <c r="H97"/>
  <c r="H96"/>
  <c r="H94"/>
  <c r="H92"/>
  <c r="H91"/>
  <c r="H90"/>
  <c r="H86"/>
  <c r="H85"/>
  <c r="H84"/>
  <c r="H83"/>
  <c r="H82"/>
  <c r="H81"/>
  <c r="H77"/>
  <c r="H73"/>
  <c r="H71"/>
  <c r="H67"/>
  <c r="H66"/>
  <c r="H65"/>
  <c r="H63"/>
  <c r="H61"/>
  <c r="H53"/>
  <c r="H50"/>
  <c r="H49"/>
  <c r="H47"/>
  <c r="H46"/>
  <c r="H45"/>
  <c r="H44"/>
  <c r="H43"/>
  <c r="H39"/>
  <c r="H38"/>
  <c r="H37"/>
  <c r="H36"/>
  <c r="H35"/>
  <c r="H34"/>
  <c r="H30"/>
  <c r="H26"/>
  <c r="H24"/>
  <c r="H20"/>
  <c r="H19"/>
  <c r="H18"/>
  <c r="H16"/>
  <c r="H14"/>
  <c r="H250" i="29"/>
  <c r="H249"/>
  <c r="I249" s="1"/>
  <c r="H247"/>
  <c r="H246"/>
  <c r="H239"/>
  <c r="H237"/>
  <c r="H236"/>
  <c r="H235"/>
  <c r="H226"/>
  <c r="H225"/>
  <c r="H223"/>
  <c r="H221"/>
  <c r="I221" s="1"/>
  <c r="H220"/>
  <c r="I220" s="1"/>
  <c r="H219"/>
  <c r="I219" s="1"/>
  <c r="H218"/>
  <c r="I218" s="1"/>
  <c r="H214"/>
  <c r="H212"/>
  <c r="H205"/>
  <c r="H203"/>
  <c r="H201"/>
  <c r="H200"/>
  <c r="H199"/>
  <c r="H198"/>
  <c r="H197"/>
  <c r="H196"/>
  <c r="H192"/>
  <c r="H190"/>
  <c r="H183"/>
  <c r="H181"/>
  <c r="H179"/>
  <c r="H178"/>
  <c r="H177"/>
  <c r="H173"/>
  <c r="H171"/>
  <c r="H164"/>
  <c r="H162"/>
  <c r="H161"/>
  <c r="H160"/>
  <c r="H153"/>
  <c r="H152"/>
  <c r="H150"/>
  <c r="H148"/>
  <c r="H147"/>
  <c r="H146"/>
  <c r="H145"/>
  <c r="H144"/>
  <c r="H140"/>
  <c r="H138"/>
  <c r="H131"/>
  <c r="H129"/>
  <c r="H127"/>
  <c r="H126"/>
  <c r="H125"/>
  <c r="H121"/>
  <c r="H119"/>
  <c r="H112"/>
  <c r="H110"/>
  <c r="H108"/>
  <c r="H107"/>
  <c r="H106"/>
  <c r="H102"/>
  <c r="H100"/>
  <c r="H93"/>
  <c r="H92"/>
  <c r="H90"/>
  <c r="H88"/>
  <c r="H87"/>
  <c r="H86"/>
  <c r="H85"/>
  <c r="I85" s="1"/>
  <c r="H81"/>
  <c r="H77"/>
  <c r="H75"/>
  <c r="H71"/>
  <c r="H70"/>
  <c r="H69"/>
  <c r="H67"/>
  <c r="H65"/>
  <c r="I65" s="1"/>
  <c r="H58"/>
  <c r="H57"/>
  <c r="H55"/>
  <c r="H53"/>
  <c r="H52"/>
  <c r="H51"/>
  <c r="H50"/>
  <c r="H46"/>
  <c r="H42"/>
  <c r="H40"/>
  <c r="H36"/>
  <c r="H34"/>
  <c r="I34" s="1"/>
  <c r="H27"/>
  <c r="H25"/>
  <c r="H22"/>
  <c r="H23"/>
  <c r="H21"/>
  <c r="H17"/>
  <c r="H15"/>
  <c r="H36" i="28"/>
  <c r="H34"/>
  <c r="H32"/>
  <c r="H28"/>
  <c r="H24"/>
  <c r="H20"/>
  <c r="H14"/>
  <c r="H15"/>
  <c r="H16"/>
  <c r="H17"/>
  <c r="H18"/>
  <c r="H13"/>
  <c r="B11" i="31"/>
  <c r="F48" i="32"/>
  <c r="F38"/>
  <c r="F28"/>
  <c r="F36" i="28"/>
  <c r="F250" i="29"/>
  <c r="D153"/>
  <c r="B153"/>
  <c r="D47" i="32"/>
  <c r="F47" s="1"/>
  <c r="D46"/>
  <c r="F46" s="1"/>
  <c r="D45"/>
  <c r="F45" s="1"/>
  <c r="D44"/>
  <c r="F44" s="1"/>
  <c r="D239" i="29"/>
  <c r="B239"/>
  <c r="D226"/>
  <c r="B226"/>
  <c r="D225"/>
  <c r="B225"/>
  <c r="D223"/>
  <c r="B223"/>
  <c r="A215"/>
  <c r="F212"/>
  <c r="F214" s="1"/>
  <c r="D205"/>
  <c r="B205"/>
  <c r="D203"/>
  <c r="B203"/>
  <c r="A193"/>
  <c r="F190"/>
  <c r="F192" s="1"/>
  <c r="F171"/>
  <c r="D183"/>
  <c r="B183"/>
  <c r="D181"/>
  <c r="B181"/>
  <c r="A174"/>
  <c r="D164"/>
  <c r="B164"/>
  <c r="F138"/>
  <c r="F140" s="1"/>
  <c r="D152"/>
  <c r="B152"/>
  <c r="D150"/>
  <c r="B150"/>
  <c r="A141"/>
  <c r="D131"/>
  <c r="B131"/>
  <c r="D129"/>
  <c r="B129"/>
  <c r="D112"/>
  <c r="B112"/>
  <c r="D110"/>
  <c r="B110"/>
  <c r="A122"/>
  <c r="F119"/>
  <c r="F121" s="1"/>
  <c r="A103"/>
  <c r="F100"/>
  <c r="F102" s="1"/>
  <c r="F75"/>
  <c r="F77" s="1"/>
  <c r="A82"/>
  <c r="A47"/>
  <c r="D93"/>
  <c r="B93"/>
  <c r="D92"/>
  <c r="B92"/>
  <c r="D90"/>
  <c r="B90"/>
  <c r="F67"/>
  <c r="F81" s="1"/>
  <c r="A72"/>
  <c r="F40"/>
  <c r="F42" s="1"/>
  <c r="F36"/>
  <c r="F46" s="1"/>
  <c r="D58"/>
  <c r="B58"/>
  <c r="A37"/>
  <c r="D55"/>
  <c r="B55"/>
  <c r="D57"/>
  <c r="B57"/>
  <c r="F15"/>
  <c r="F17" s="1"/>
  <c r="D27"/>
  <c r="B27"/>
  <c r="D25"/>
  <c r="B25"/>
  <c r="A18"/>
  <c r="D37" i="32"/>
  <c r="D36"/>
  <c r="D35"/>
  <c r="D34"/>
  <c r="D25"/>
  <c r="F25" s="1"/>
  <c r="D24"/>
  <c r="D23"/>
  <c r="D22"/>
  <c r="D15"/>
  <c r="D14"/>
  <c r="D13"/>
  <c r="D12"/>
  <c r="F27"/>
  <c r="F26"/>
  <c r="I250" i="29" l="1"/>
  <c r="I153"/>
  <c r="F49" i="32"/>
  <c r="I212" i="29"/>
  <c r="I214"/>
  <c r="I192"/>
  <c r="I190"/>
  <c r="I171"/>
  <c r="I119"/>
  <c r="F173"/>
  <c r="I173" s="1"/>
  <c r="I140"/>
  <c r="I121"/>
  <c r="I138"/>
  <c r="I102"/>
  <c r="I100"/>
  <c r="I81"/>
  <c r="I82" s="1"/>
  <c r="I77"/>
  <c r="I75"/>
  <c r="I46"/>
  <c r="I47" s="1"/>
  <c r="I67"/>
  <c r="I40"/>
  <c r="F69"/>
  <c r="I42"/>
  <c r="I36"/>
  <c r="I37" s="1"/>
  <c r="I15"/>
  <c r="I17"/>
  <c r="F24" i="32"/>
  <c r="F23"/>
  <c r="F22"/>
  <c r="F37"/>
  <c r="F36"/>
  <c r="F35"/>
  <c r="F34"/>
  <c r="F16"/>
  <c r="B6"/>
  <c r="D56"/>
  <c r="F56" s="1"/>
  <c r="F55"/>
  <c r="D54"/>
  <c r="F54" s="1"/>
  <c r="F15"/>
  <c r="F14"/>
  <c r="F13"/>
  <c r="F12"/>
  <c r="I193" i="29" l="1"/>
  <c r="I174"/>
  <c r="I215"/>
  <c r="I122"/>
  <c r="I141"/>
  <c r="I103"/>
  <c r="I78"/>
  <c r="I69"/>
  <c r="F70"/>
  <c r="I70" s="1"/>
  <c r="F71"/>
  <c r="I71" s="1"/>
  <c r="I43"/>
  <c r="I18"/>
  <c r="F29" i="32"/>
  <c r="F17"/>
  <c r="F39"/>
  <c r="I226" i="29" s="1"/>
  <c r="F57" i="32"/>
  <c r="I93" i="29" l="1"/>
  <c r="I58"/>
  <c r="I225"/>
  <c r="I183"/>
  <c r="I112"/>
  <c r="I152"/>
  <c r="I92"/>
  <c r="I57"/>
  <c r="I131"/>
  <c r="I205"/>
  <c r="I55"/>
  <c r="I129"/>
  <c r="I25"/>
  <c r="I110"/>
  <c r="I90"/>
  <c r="I223"/>
  <c r="I203"/>
  <c r="I150"/>
  <c r="I181"/>
  <c r="I164"/>
  <c r="I239"/>
  <c r="I72"/>
  <c r="I433" i="30"/>
  <c r="F439"/>
  <c r="F438"/>
  <c r="F440"/>
  <c r="F423"/>
  <c r="F424"/>
  <c r="A412"/>
  <c r="F411"/>
  <c r="F410"/>
  <c r="F407"/>
  <c r="F406"/>
  <c r="F405"/>
  <c r="F403"/>
  <c r="I401"/>
  <c r="I400"/>
  <c r="I399"/>
  <c r="I398"/>
  <c r="F396"/>
  <c r="F408" s="1"/>
  <c r="I395"/>
  <c r="I394"/>
  <c r="I393"/>
  <c r="I391"/>
  <c r="I390"/>
  <c r="I389"/>
  <c r="I388"/>
  <c r="I387"/>
  <c r="I386"/>
  <c r="I385"/>
  <c r="I384"/>
  <c r="I383"/>
  <c r="I379"/>
  <c r="F379"/>
  <c r="I378"/>
  <c r="F378"/>
  <c r="F376"/>
  <c r="F374"/>
  <c r="F373"/>
  <c r="I372"/>
  <c r="A369"/>
  <c r="A360"/>
  <c r="I359"/>
  <c r="I360" s="1"/>
  <c r="A356"/>
  <c r="A350"/>
  <c r="F345"/>
  <c r="F347" s="1"/>
  <c r="I343"/>
  <c r="A280"/>
  <c r="F279"/>
  <c r="F278"/>
  <c r="F275"/>
  <c r="F274"/>
  <c r="F273"/>
  <c r="F271"/>
  <c r="I269"/>
  <c r="I268"/>
  <c r="I267"/>
  <c r="I266"/>
  <c r="F264"/>
  <c r="F276" s="1"/>
  <c r="I263"/>
  <c r="I262"/>
  <c r="I261"/>
  <c r="I259"/>
  <c r="I258"/>
  <c r="I257"/>
  <c r="I256"/>
  <c r="I255"/>
  <c r="I254"/>
  <c r="I253"/>
  <c r="I252"/>
  <c r="I251"/>
  <c r="F247"/>
  <c r="F246"/>
  <c r="F244"/>
  <c r="F242"/>
  <c r="I241"/>
  <c r="F241"/>
  <c r="I240"/>
  <c r="A237"/>
  <c r="A228"/>
  <c r="I227"/>
  <c r="I228" s="1"/>
  <c r="A224"/>
  <c r="A218"/>
  <c r="F213"/>
  <c r="F215" s="1"/>
  <c r="I211"/>
  <c r="F335"/>
  <c r="F290"/>
  <c r="A337"/>
  <c r="F336"/>
  <c r="F332"/>
  <c r="F331"/>
  <c r="F329"/>
  <c r="I327"/>
  <c r="I326"/>
  <c r="I325"/>
  <c r="F323"/>
  <c r="I322"/>
  <c r="I321"/>
  <c r="I319"/>
  <c r="I318"/>
  <c r="I317"/>
  <c r="I316"/>
  <c r="I315"/>
  <c r="I314"/>
  <c r="I313"/>
  <c r="I312"/>
  <c r="I311"/>
  <c r="F307"/>
  <c r="F306"/>
  <c r="F304"/>
  <c r="F302"/>
  <c r="F301"/>
  <c r="I300"/>
  <c r="A297"/>
  <c r="I296"/>
  <c r="I297" s="1"/>
  <c r="A293"/>
  <c r="A287"/>
  <c r="I286"/>
  <c r="A205"/>
  <c r="F204"/>
  <c r="F203"/>
  <c r="F200"/>
  <c r="F199"/>
  <c r="F198"/>
  <c r="F196"/>
  <c r="I194"/>
  <c r="I193"/>
  <c r="I192"/>
  <c r="I191"/>
  <c r="F189"/>
  <c r="F201" s="1"/>
  <c r="I188"/>
  <c r="I187"/>
  <c r="I186"/>
  <c r="I184"/>
  <c r="I183"/>
  <c r="I182"/>
  <c r="I181"/>
  <c r="I180"/>
  <c r="I179"/>
  <c r="I178"/>
  <c r="I177"/>
  <c r="I176"/>
  <c r="F172"/>
  <c r="F171"/>
  <c r="F169"/>
  <c r="F167"/>
  <c r="F166"/>
  <c r="I165"/>
  <c r="A162"/>
  <c r="A153"/>
  <c r="I152"/>
  <c r="I153" s="1"/>
  <c r="A149"/>
  <c r="A143"/>
  <c r="F138"/>
  <c r="F140" s="1"/>
  <c r="I136"/>
  <c r="I440" l="1"/>
  <c r="I439"/>
  <c r="I438"/>
  <c r="I403"/>
  <c r="I411"/>
  <c r="I407"/>
  <c r="I423"/>
  <c r="I424"/>
  <c r="I247"/>
  <c r="I213"/>
  <c r="F231"/>
  <c r="I231" s="1"/>
  <c r="I373"/>
  <c r="I408"/>
  <c r="I336"/>
  <c r="I271"/>
  <c r="I331"/>
  <c r="I279"/>
  <c r="I264"/>
  <c r="I345"/>
  <c r="F363"/>
  <c r="I363" s="1"/>
  <c r="I374"/>
  <c r="I246"/>
  <c r="I242"/>
  <c r="I396"/>
  <c r="I406"/>
  <c r="I274"/>
  <c r="I410"/>
  <c r="I276"/>
  <c r="I275"/>
  <c r="F353"/>
  <c r="I353" s="1"/>
  <c r="I376"/>
  <c r="F221"/>
  <c r="I221" s="1"/>
  <c r="I405"/>
  <c r="I347"/>
  <c r="F348"/>
  <c r="I348" s="1"/>
  <c r="F349"/>
  <c r="I349" s="1"/>
  <c r="F366"/>
  <c r="F368"/>
  <c r="I368" s="1"/>
  <c r="I167"/>
  <c r="I278"/>
  <c r="I273"/>
  <c r="F236"/>
  <c r="I236" s="1"/>
  <c r="I244"/>
  <c r="I215"/>
  <c r="F216"/>
  <c r="I216" s="1"/>
  <c r="F217"/>
  <c r="I217" s="1"/>
  <c r="F234"/>
  <c r="I200"/>
  <c r="I332"/>
  <c r="I301"/>
  <c r="I196"/>
  <c r="I204"/>
  <c r="I335"/>
  <c r="I171"/>
  <c r="I169"/>
  <c r="I199"/>
  <c r="I304"/>
  <c r="I306"/>
  <c r="I166"/>
  <c r="I203"/>
  <c r="I172"/>
  <c r="I307"/>
  <c r="I138"/>
  <c r="F156"/>
  <c r="F157" s="1"/>
  <c r="I157" s="1"/>
  <c r="F146"/>
  <c r="F148" s="1"/>
  <c r="I148" s="1"/>
  <c r="I198"/>
  <c r="I290"/>
  <c r="I302"/>
  <c r="I323"/>
  <c r="I329"/>
  <c r="F333"/>
  <c r="I333" s="1"/>
  <c r="I201"/>
  <c r="F292"/>
  <c r="I292" s="1"/>
  <c r="I140"/>
  <c r="F141"/>
  <c r="I141" s="1"/>
  <c r="F142"/>
  <c r="I142" s="1"/>
  <c r="F159"/>
  <c r="I189"/>
  <c r="F161"/>
  <c r="I161" s="1"/>
  <c r="F125"/>
  <c r="I112"/>
  <c r="A130"/>
  <c r="F129"/>
  <c r="F128"/>
  <c r="F121"/>
  <c r="F124"/>
  <c r="F123"/>
  <c r="F114"/>
  <c r="F126" s="1"/>
  <c r="F97"/>
  <c r="F96"/>
  <c r="F91"/>
  <c r="F92"/>
  <c r="F94"/>
  <c r="I117"/>
  <c r="F63"/>
  <c r="F71" s="1"/>
  <c r="F73" s="1"/>
  <c r="F355" l="1"/>
  <c r="I355" s="1"/>
  <c r="I356" s="1"/>
  <c r="F365"/>
  <c r="I365" s="1"/>
  <c r="F364"/>
  <c r="I364" s="1"/>
  <c r="I218"/>
  <c r="F233"/>
  <c r="I233" s="1"/>
  <c r="F232"/>
  <c r="I232" s="1"/>
  <c r="I380"/>
  <c r="I350"/>
  <c r="I412"/>
  <c r="I248"/>
  <c r="I280"/>
  <c r="F223"/>
  <c r="I223" s="1"/>
  <c r="I224" s="1"/>
  <c r="F367"/>
  <c r="I367" s="1"/>
  <c r="I366"/>
  <c r="I234"/>
  <c r="F235"/>
  <c r="I235" s="1"/>
  <c r="I125"/>
  <c r="I337"/>
  <c r="I287"/>
  <c r="I126"/>
  <c r="I143"/>
  <c r="I205"/>
  <c r="I173"/>
  <c r="I308"/>
  <c r="F158"/>
  <c r="I158" s="1"/>
  <c r="I156"/>
  <c r="I146"/>
  <c r="I149" s="1"/>
  <c r="I293"/>
  <c r="I159"/>
  <c r="F160"/>
  <c r="I160" s="1"/>
  <c r="I129"/>
  <c r="I128"/>
  <c r="I121"/>
  <c r="I124"/>
  <c r="I123"/>
  <c r="I97"/>
  <c r="I96"/>
  <c r="I91"/>
  <c r="I90"/>
  <c r="I92"/>
  <c r="I237" l="1"/>
  <c r="I281" s="1"/>
  <c r="I369"/>
  <c r="I413" s="1"/>
  <c r="I338"/>
  <c r="I162"/>
  <c r="I206" s="1"/>
  <c r="A87"/>
  <c r="F86"/>
  <c r="F81"/>
  <c r="F82" s="1"/>
  <c r="A78"/>
  <c r="I77"/>
  <c r="I78" s="1"/>
  <c r="A74"/>
  <c r="I71"/>
  <c r="A68"/>
  <c r="F65"/>
  <c r="I63"/>
  <c r="F84"/>
  <c r="I61"/>
  <c r="I81" l="1"/>
  <c r="I65"/>
  <c r="I86"/>
  <c r="F66"/>
  <c r="I66" s="1"/>
  <c r="I82"/>
  <c r="F67"/>
  <c r="I67" s="1"/>
  <c r="F83"/>
  <c r="I83" s="1"/>
  <c r="I73"/>
  <c r="I74" s="1"/>
  <c r="F85"/>
  <c r="I85" s="1"/>
  <c r="I84"/>
  <c r="F47"/>
  <c r="F50"/>
  <c r="F49"/>
  <c r="I45"/>
  <c r="F46"/>
  <c r="I44"/>
  <c r="I43"/>
  <c r="I53"/>
  <c r="I54" s="1"/>
  <c r="F30"/>
  <c r="F16"/>
  <c r="F24" s="1"/>
  <c r="F26" s="1"/>
  <c r="F14"/>
  <c r="C6" i="28"/>
  <c r="C6" i="29" s="1"/>
  <c r="C6" i="30" s="1"/>
  <c r="C4" i="26" s="1"/>
  <c r="C4" i="29"/>
  <c r="C4" i="30" s="1"/>
  <c r="B4" i="32" s="1"/>
  <c r="C4" i="28"/>
  <c r="I51" i="30" l="1"/>
  <c r="I68"/>
  <c r="I50"/>
  <c r="I87"/>
  <c r="I49"/>
  <c r="I47"/>
  <c r="I46"/>
  <c r="I36" i="28"/>
  <c r="I34"/>
  <c r="I32"/>
  <c r="F24"/>
  <c r="I24" l="1"/>
  <c r="I25" s="1"/>
  <c r="I37"/>
  <c r="B1" i="30" l="1"/>
  <c r="B1" i="32" s="1"/>
  <c r="B1" i="29"/>
  <c r="B1" i="28"/>
  <c r="I430" i="30" l="1"/>
  <c r="I435"/>
  <c r="I431"/>
  <c r="I432"/>
  <c r="I417"/>
  <c r="I418"/>
  <c r="F39"/>
  <c r="A40"/>
  <c r="A31"/>
  <c r="A27"/>
  <c r="A21"/>
  <c r="I14"/>
  <c r="I39" l="1"/>
  <c r="I30"/>
  <c r="I31" s="1"/>
  <c r="F37"/>
  <c r="F34"/>
  <c r="I34" s="1"/>
  <c r="I24"/>
  <c r="F18"/>
  <c r="I26"/>
  <c r="I16"/>
  <c r="I27" l="1"/>
  <c r="F38"/>
  <c r="I38" s="1"/>
  <c r="I37"/>
  <c r="F35"/>
  <c r="I35" s="1"/>
  <c r="F36"/>
  <c r="I36" s="1"/>
  <c r="F19"/>
  <c r="I19" s="1"/>
  <c r="F20"/>
  <c r="I20" s="1"/>
  <c r="I18"/>
  <c r="I21" l="1"/>
  <c r="I40"/>
  <c r="F10" i="27"/>
  <c r="A1"/>
  <c r="I55" i="30" l="1"/>
  <c r="I227" i="29"/>
  <c r="I228" s="1"/>
  <c r="I27"/>
  <c r="I199"/>
  <c r="I198"/>
  <c r="I197"/>
  <c r="I196"/>
  <c r="I148"/>
  <c r="I146"/>
  <c r="I145"/>
  <c r="I144"/>
  <c r="I86"/>
  <c r="I87"/>
  <c r="I88"/>
  <c r="I52"/>
  <c r="I51"/>
  <c r="I201"/>
  <c r="I200"/>
  <c r="I179"/>
  <c r="I178"/>
  <c r="I177"/>
  <c r="I162"/>
  <c r="I161"/>
  <c r="I160"/>
  <c r="I127"/>
  <c r="I126"/>
  <c r="I125"/>
  <c r="I108"/>
  <c r="I107"/>
  <c r="I106"/>
  <c r="I53"/>
  <c r="I50"/>
  <c r="I23"/>
  <c r="I22"/>
  <c r="I21"/>
  <c r="I436" i="30"/>
  <c r="I441" s="1"/>
  <c r="I419"/>
  <c r="I421"/>
  <c r="I114"/>
  <c r="I109"/>
  <c r="I113"/>
  <c r="I116"/>
  <c r="I111"/>
  <c r="I108"/>
  <c r="I118"/>
  <c r="I107"/>
  <c r="I119"/>
  <c r="I106"/>
  <c r="I105"/>
  <c r="I104"/>
  <c r="I103"/>
  <c r="I102"/>
  <c r="I101"/>
  <c r="I246" i="29"/>
  <c r="I237"/>
  <c r="F28" i="28"/>
  <c r="I20"/>
  <c r="I18"/>
  <c r="I17"/>
  <c r="I16"/>
  <c r="I15"/>
  <c r="I14"/>
  <c r="I13"/>
  <c r="F18" i="27"/>
  <c r="F13"/>
  <c r="F12"/>
  <c r="F11"/>
  <c r="F20"/>
  <c r="I251" i="29" l="1"/>
  <c r="I206"/>
  <c r="I207" s="1"/>
  <c r="I184"/>
  <c r="I185" s="1"/>
  <c r="I165"/>
  <c r="I166" s="1"/>
  <c r="I147"/>
  <c r="I154" s="1"/>
  <c r="I155" s="1"/>
  <c r="I132"/>
  <c r="I133" s="1"/>
  <c r="I113"/>
  <c r="I114" s="1"/>
  <c r="I94"/>
  <c r="I95" s="1"/>
  <c r="I59"/>
  <c r="I60" s="1"/>
  <c r="I28"/>
  <c r="I29" s="1"/>
  <c r="I425" i="30"/>
  <c r="I426" s="1"/>
  <c r="I130"/>
  <c r="I94"/>
  <c r="I98" s="1"/>
  <c r="I442"/>
  <c r="I247" i="29"/>
  <c r="I21" i="28"/>
  <c r="I28"/>
  <c r="I236" i="29"/>
  <c r="I235"/>
  <c r="I443" i="30" l="1"/>
  <c r="I252" i="29"/>
  <c r="I240"/>
  <c r="I241" s="1"/>
  <c r="I229"/>
  <c r="I38" i="28"/>
  <c r="I131" i="30"/>
  <c r="I29" i="28"/>
  <c r="F23" i="27"/>
  <c r="F14"/>
  <c r="F15"/>
  <c r="F16"/>
  <c r="I253" i="29" l="1"/>
  <c r="I254" s="1"/>
  <c r="H12" i="31" s="1"/>
  <c r="D9" i="26" s="1"/>
  <c r="E9" s="1"/>
  <c r="H13" i="31"/>
  <c r="D11" i="26" s="1"/>
  <c r="H11" i="31"/>
  <c r="D7" i="26" s="1"/>
  <c r="F7" s="1"/>
  <c r="B4" i="27"/>
  <c r="H7" i="26" l="1"/>
  <c r="G7"/>
  <c r="E7"/>
  <c r="H14" i="31"/>
  <c r="H9" i="26"/>
  <c r="G9"/>
  <c r="F9"/>
  <c r="F11"/>
  <c r="H11"/>
  <c r="G11"/>
  <c r="E11"/>
  <c r="F26" i="27"/>
  <c r="E13" i="26" l="1"/>
  <c r="F13"/>
  <c r="H13"/>
  <c r="G13"/>
  <c r="I7"/>
  <c r="I13" l="1"/>
  <c r="E14" s="1"/>
  <c r="D13"/>
  <c r="I9"/>
  <c r="I11"/>
  <c r="G14" l="1"/>
  <c r="H14"/>
  <c r="F14"/>
  <c r="I14" l="1"/>
  <c r="D16" i="20" l="1"/>
  <c r="G17" l="1"/>
  <c r="O17"/>
  <c r="J17"/>
  <c r="L17"/>
  <c r="N17"/>
  <c r="H17"/>
  <c r="P17"/>
  <c r="I17"/>
  <c r="E17"/>
  <c r="K17"/>
  <c r="M17"/>
  <c r="F17"/>
  <c r="C12" l="1"/>
  <c r="C14"/>
  <c r="C16"/>
  <c r="D12" l="1"/>
  <c r="K13" l="1"/>
  <c r="L13"/>
  <c r="N13"/>
  <c r="O13"/>
  <c r="P13"/>
  <c r="I13"/>
  <c r="M13"/>
  <c r="F13"/>
  <c r="G13"/>
  <c r="E13"/>
  <c r="H13"/>
  <c r="J13"/>
  <c r="G21" i="24"/>
  <c r="G28"/>
  <c r="G32"/>
  <c r="G37" l="1"/>
  <c r="D10" i="20" l="1"/>
  <c r="F11" l="1"/>
  <c r="N11"/>
  <c r="G11"/>
  <c r="O11"/>
  <c r="P11"/>
  <c r="E11"/>
  <c r="K11"/>
  <c r="L11"/>
  <c r="H11"/>
  <c r="I11"/>
  <c r="J11"/>
  <c r="M11"/>
  <c r="D6" l="1"/>
  <c r="G7" s="1"/>
  <c r="J7" l="1"/>
  <c r="N7"/>
  <c r="E7"/>
  <c r="K18" s="1"/>
  <c r="H7"/>
  <c r="K7"/>
  <c r="O7"/>
  <c r="P7"/>
  <c r="F7"/>
  <c r="M7"/>
  <c r="L7"/>
  <c r="I7"/>
  <c r="G10" l="1"/>
  <c r="I6"/>
  <c r="O6"/>
  <c r="F16"/>
  <c r="P14"/>
  <c r="F14"/>
  <c r="M16"/>
  <c r="J16"/>
  <c r="K16"/>
  <c r="N12"/>
  <c r="H12"/>
  <c r="H18"/>
  <c r="F6"/>
  <c r="F12"/>
  <c r="M12"/>
  <c r="N16"/>
  <c r="E14"/>
  <c r="H10"/>
  <c r="J10"/>
  <c r="G18"/>
  <c r="J18"/>
  <c r="G16"/>
  <c r="N14"/>
  <c r="K12"/>
  <c r="J12"/>
  <c r="J6"/>
  <c r="L12"/>
  <c r="I12"/>
  <c r="H14"/>
  <c r="L10"/>
  <c r="P16"/>
  <c r="P12"/>
  <c r="M6"/>
  <c r="E10"/>
  <c r="G8"/>
  <c r="N6"/>
  <c r="I10"/>
  <c r="E8"/>
  <c r="M10"/>
  <c r="P6"/>
  <c r="O18"/>
  <c r="M14"/>
  <c r="J14"/>
  <c r="G14"/>
  <c r="G6"/>
  <c r="P10"/>
  <c r="L18"/>
  <c r="I18"/>
  <c r="O10"/>
  <c r="H6"/>
  <c r="K10"/>
  <c r="N10"/>
  <c r="I14"/>
  <c r="E18"/>
  <c r="O16"/>
  <c r="L16"/>
  <c r="E16"/>
  <c r="K6"/>
  <c r="M18"/>
  <c r="F10"/>
  <c r="H16"/>
  <c r="E12"/>
  <c r="G12"/>
  <c r="O14"/>
  <c r="L6"/>
  <c r="E6"/>
  <c r="P18"/>
  <c r="F18"/>
  <c r="F8"/>
  <c r="O12"/>
  <c r="K14"/>
  <c r="L14"/>
  <c r="I16"/>
  <c r="N18"/>
  <c r="N8"/>
  <c r="K8"/>
  <c r="M8"/>
  <c r="I8"/>
  <c r="L8"/>
  <c r="H8"/>
  <c r="J8"/>
  <c r="O8"/>
  <c r="P8"/>
  <c r="F22" l="1"/>
  <c r="G22" s="1"/>
  <c r="H22" s="1"/>
  <c r="I22" s="1"/>
  <c r="J22" s="1"/>
  <c r="K22" s="1"/>
  <c r="L22" s="1"/>
  <c r="M22" s="1"/>
  <c r="N22" s="1"/>
  <c r="O22" s="1"/>
  <c r="P22" s="1"/>
  <c r="D14" l="1"/>
  <c r="D18" s="1"/>
  <c r="F15" l="1"/>
  <c r="F19" s="1"/>
  <c r="E15"/>
  <c r="E19" s="1"/>
  <c r="E20" s="1"/>
  <c r="J15"/>
  <c r="J19" s="1"/>
  <c r="L15"/>
  <c r="L19" s="1"/>
  <c r="I15"/>
  <c r="I19" s="1"/>
  <c r="H15"/>
  <c r="H19" s="1"/>
  <c r="N15"/>
  <c r="N19" s="1"/>
  <c r="M15"/>
  <c r="M19" s="1"/>
  <c r="K15"/>
  <c r="K19" s="1"/>
  <c r="G15"/>
  <c r="G19" s="1"/>
  <c r="P15"/>
  <c r="P19" s="1"/>
  <c r="O15"/>
  <c r="O19" s="1"/>
  <c r="F20" l="1"/>
  <c r="G20" s="1"/>
  <c r="H20" s="1"/>
  <c r="I20" s="1"/>
  <c r="J20" s="1"/>
  <c r="K20" s="1"/>
  <c r="L20" s="1"/>
  <c r="M20" s="1"/>
  <c r="N20" s="1"/>
  <c r="O20" s="1"/>
  <c r="P20" s="1"/>
</calcChain>
</file>

<file path=xl/connections.xml><?xml version="1.0" encoding="utf-8"?>
<connections xmlns="http://schemas.openxmlformats.org/spreadsheetml/2006/main">
  <connection id="1" keepAlive="1" name="Consulta - tabula-2024_07_Banco_de_Obras_e_Servicos_de_Engenharia" description="Conexão com a consulta 'tabula-2024_07_Banco_de_Obras_e_Servicos_de_Engenharia' na pasta de trabalho." type="5" refreshedVersion="8" background="1" saveData="1">
    <dbPr connection="Provider=Microsoft.Mashup.OleDb.1;Data Source=$Workbook$;Location=tabula-2024_07_Banco_de_Obras_e_Servicos_de_Engenharia;Extended Properties=&quot;&quot;" command="SELECT * FROM [tabula-2024_07_Banco_de_Obras_e_Servicos_de_Engenharia]"/>
  </connection>
</connections>
</file>

<file path=xl/sharedStrings.xml><?xml version="1.0" encoding="utf-8"?>
<sst xmlns="http://schemas.openxmlformats.org/spreadsheetml/2006/main" count="2501" uniqueCount="544">
  <si>
    <t>1.0</t>
  </si>
  <si>
    <t>ITEM</t>
  </si>
  <si>
    <t>DESCRIÇÃO</t>
  </si>
  <si>
    <t>CÓDIGO</t>
  </si>
  <si>
    <t>1.1</t>
  </si>
  <si>
    <t>UND</t>
  </si>
  <si>
    <t>M</t>
  </si>
  <si>
    <t>2.0</t>
  </si>
  <si>
    <t>2.1</t>
  </si>
  <si>
    <t>2.2</t>
  </si>
  <si>
    <t>4.0</t>
  </si>
  <si>
    <t>5.0</t>
  </si>
  <si>
    <t>6.0</t>
  </si>
  <si>
    <t>TOTAL GERAL</t>
  </si>
  <si>
    <t>CANTEIRO DE OBRAS</t>
  </si>
  <si>
    <t>FONTE</t>
  </si>
  <si>
    <t>3.0</t>
  </si>
  <si>
    <t>L</t>
  </si>
  <si>
    <t xml:space="preserve">                             Pedro Alberto Caes</t>
  </si>
  <si>
    <t xml:space="preserve">    estejam de acordo com a sua composição</t>
  </si>
  <si>
    <t xml:space="preserve">    obras de construção de redes de abastecimento de água, coleta de esgoto e construções correlatas.</t>
  </si>
  <si>
    <t xml:space="preserve">OBS.: </t>
  </si>
  <si>
    <t>BDI - SEM Desoneração folha pagamento</t>
  </si>
  <si>
    <t>ISSQN (conforme legislação municipal)</t>
  </si>
  <si>
    <t>I2</t>
  </si>
  <si>
    <t>PIS e COFINS</t>
  </si>
  <si>
    <t>I1</t>
  </si>
  <si>
    <t>Lucro</t>
  </si>
  <si>
    <t>Despesas Financeiras</t>
  </si>
  <si>
    <t>DF</t>
  </si>
  <si>
    <t>Risco</t>
  </si>
  <si>
    <t>R</t>
  </si>
  <si>
    <t>Seguro +  Garantia</t>
  </si>
  <si>
    <t>SG</t>
  </si>
  <si>
    <t>Administração Central</t>
  </si>
  <si>
    <t>AC</t>
  </si>
  <si>
    <t>Valores Propostos</t>
  </si>
  <si>
    <t>3º Quartil</t>
  </si>
  <si>
    <t>Médio</t>
  </si>
  <si>
    <t>1º Quartil</t>
  </si>
  <si>
    <t>Item componente do BDI</t>
  </si>
  <si>
    <t>COMPOSIÇÃO DAS TAXAS DE BDI - MÃO DE OBRA</t>
  </si>
  <si>
    <t>COMPOSIÇÃO DAS TAXAS DE BDI - MATERIAL</t>
  </si>
  <si>
    <t xml:space="preserve"> COMPOSIÇÃO DAS TAXAS DE BDI PARA MATERIAL E MÃO DE OBRA</t>
  </si>
  <si>
    <t>CRONOGRAMA FÍSICO-FINANCEIRO</t>
  </si>
  <si>
    <t>VALOR (R$)</t>
  </si>
  <si>
    <t>MÊS 1</t>
  </si>
  <si>
    <t>MÊS 2</t>
  </si>
  <si>
    <t>MÊS 3</t>
  </si>
  <si>
    <t>MÊS 4</t>
  </si>
  <si>
    <t>MÊS 5</t>
  </si>
  <si>
    <t>MÊS 6</t>
  </si>
  <si>
    <t>CUSTO MENSAL (R$):</t>
  </si>
  <si>
    <t>CUSTO ACUMULADO (R$):</t>
  </si>
  <si>
    <t>PORCENTAGEM MENSAL (R$):</t>
  </si>
  <si>
    <t>PORCENTAGEM ACUMULADA (R$):</t>
  </si>
  <si>
    <t>MÊS 7</t>
  </si>
  <si>
    <t>MÊS 8</t>
  </si>
  <si>
    <t>MÊS 9</t>
  </si>
  <si>
    <t>MÊS 10</t>
  </si>
  <si>
    <t>MÊS 11</t>
  </si>
  <si>
    <t>MÊS 12</t>
  </si>
  <si>
    <r>
      <t xml:space="preserve">       Fórmula de Cálculo:</t>
    </r>
    <r>
      <rPr>
        <sz val="10"/>
        <rFont val="Arial"/>
        <family val="2"/>
      </rPr>
      <t xml:space="preserve"> BDI (SEM Desoneração) = [(1 + AC + SG + R) * (1 + DF) * (1 + L) / (1 - I1 - I2)] - 1</t>
    </r>
  </si>
  <si>
    <r>
      <rPr>
        <b/>
        <sz val="10"/>
        <rFont val="Arial"/>
        <family val="2"/>
      </rPr>
      <t>1</t>
    </r>
    <r>
      <rPr>
        <sz val="10"/>
        <rFont val="Arial"/>
        <family val="2"/>
      </rPr>
      <t>. Valores  das colunas "</t>
    </r>
    <r>
      <rPr>
        <i/>
        <sz val="10"/>
        <rFont val="Arial"/>
        <family val="2"/>
      </rPr>
      <t>1º Quartil</t>
    </r>
    <r>
      <rPr>
        <sz val="10"/>
        <rFont val="Arial"/>
        <family val="2"/>
      </rPr>
      <t>", "</t>
    </r>
    <r>
      <rPr>
        <i/>
        <sz val="10"/>
        <rFont val="Arial"/>
        <family val="2"/>
      </rPr>
      <t>Médio</t>
    </r>
    <r>
      <rPr>
        <sz val="10"/>
        <rFont val="Arial"/>
        <family val="2"/>
      </rPr>
      <t>" e "</t>
    </r>
    <r>
      <rPr>
        <i/>
        <sz val="10"/>
        <rFont val="Arial"/>
        <family val="2"/>
      </rPr>
      <t>3º Quartil</t>
    </r>
    <r>
      <rPr>
        <sz val="10"/>
        <rFont val="Arial"/>
        <family val="2"/>
      </rPr>
      <t xml:space="preserve">", conforme Acórdão n° 2622/2013 - TCU - Plenário, para </t>
    </r>
  </si>
  <si>
    <r>
      <rPr>
        <b/>
        <sz val="10"/>
        <rFont val="Arial"/>
        <family val="2"/>
      </rPr>
      <t xml:space="preserve">2. </t>
    </r>
    <r>
      <rPr>
        <sz val="10"/>
        <rFont val="Arial"/>
        <family val="2"/>
      </rPr>
      <t>A coluna "</t>
    </r>
    <r>
      <rPr>
        <i/>
        <sz val="10"/>
        <rFont val="Arial"/>
        <family val="2"/>
      </rPr>
      <t>Valores Propostos</t>
    </r>
    <r>
      <rPr>
        <sz val="10"/>
        <rFont val="Arial"/>
        <family val="2"/>
      </rPr>
      <t xml:space="preserve">" é apenas para referência, sendo que a licitante deverá apresentar os valores que </t>
    </r>
  </si>
  <si>
    <r>
      <rPr>
        <b/>
        <sz val="10"/>
        <rFont val="Arial"/>
        <family val="2"/>
      </rPr>
      <t>3.</t>
    </r>
    <r>
      <rPr>
        <sz val="10"/>
        <rFont val="Arial"/>
        <family val="2"/>
      </rPr>
      <t xml:space="preserve"> Valores do PIS = 0,65% e do COFINS = 3,00%, considerando a opção por "</t>
    </r>
    <r>
      <rPr>
        <i/>
        <sz val="10"/>
        <rFont val="Arial"/>
        <family val="2"/>
      </rPr>
      <t>Lucro Presumido</t>
    </r>
    <r>
      <rPr>
        <sz val="10"/>
        <rFont val="Arial"/>
        <family val="2"/>
      </rPr>
      <t>"</t>
    </r>
  </si>
  <si>
    <t>MANUTENÇÃO PREVENTIVA DE VÁLVULA REDUTORA DE PRESSÃO</t>
  </si>
  <si>
    <t>MANUTENÇÃO CORRETIVA DE VÁLVULA REDUTORA DE PRESSÃO</t>
  </si>
  <si>
    <t>2.3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</si>
  <si>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</si>
  <si>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</si>
  <si>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</si>
  <si>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</si>
  <si>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</si>
  <si>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</si>
  <si>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</si>
  <si>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</si>
  <si>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</si>
  <si>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</si>
  <si>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</si>
  <si>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</si>
  <si>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</si>
  <si>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</si>
  <si>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</si>
  <si>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</si>
  <si>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</si>
  <si>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6.20</t>
  </si>
  <si>
    <t>6.21</t>
  </si>
  <si>
    <t>6.22</t>
  </si>
  <si>
    <t>6.23</t>
  </si>
  <si>
    <t>6.24</t>
  </si>
  <si>
    <t>6.25</t>
  </si>
  <si>
    <t>6.26</t>
  </si>
  <si>
    <t>6.27</t>
  </si>
  <si>
    <t>6.28</t>
  </si>
  <si>
    <t>6.29</t>
  </si>
  <si>
    <t>6.30</t>
  </si>
  <si>
    <t>6.31</t>
  </si>
  <si>
    <t>6.32</t>
  </si>
  <si>
    <t>6.33</t>
  </si>
  <si>
    <t>6.34</t>
  </si>
  <si>
    <t>6.35</t>
  </si>
  <si>
    <t>6.36</t>
  </si>
  <si>
    <t>6.37</t>
  </si>
  <si>
    <t>6.38</t>
  </si>
  <si>
    <t>6.39</t>
  </si>
  <si>
    <t>6.40</t>
  </si>
  <si>
    <t>6.41</t>
  </si>
  <si>
    <t>6.42</t>
  </si>
  <si>
    <t>6.43</t>
  </si>
  <si>
    <t>6.44</t>
  </si>
  <si>
    <t>6.45</t>
  </si>
  <si>
    <t>6.46</t>
  </si>
  <si>
    <t>6.47</t>
  </si>
  <si>
    <t>6.48</t>
  </si>
  <si>
    <t>6.49</t>
  </si>
  <si>
    <t>6.50</t>
  </si>
  <si>
    <t>6.51</t>
  </si>
  <si>
    <t>6.52</t>
  </si>
  <si>
    <t>6.53</t>
  </si>
  <si>
    <t>6.54</t>
  </si>
  <si>
    <t>DEPARTAMENTO DE ÁGUA E ESGOTO DE AMERICANA-SP</t>
  </si>
  <si>
    <t>SERVIÇOS PRELIMINARES</t>
  </si>
  <si>
    <t>1.2</t>
  </si>
  <si>
    <t>1.3</t>
  </si>
  <si>
    <t>1.4</t>
  </si>
  <si>
    <t>VRP PRAIA DOS NAMORADOS</t>
  </si>
  <si>
    <t>VRP ESTRADA DA FAZENDINHA</t>
  </si>
  <si>
    <t>VRP SANTINO FARAONE</t>
  </si>
  <si>
    <t>VRP TANCREDI</t>
  </si>
  <si>
    <t>VRP JARDIM DA MATA</t>
  </si>
  <si>
    <t>Registro Esfera 1.1/2"</t>
  </si>
  <si>
    <t>MACRO MEDIDORES TIPO TURBINA DE INSERÇÃO - RESERVATÓRIOS</t>
  </si>
  <si>
    <t>MACRO MEDIDORES ELETROMAGNÉTICOS DE INSERÇÃO - ETA I</t>
  </si>
  <si>
    <t>MACRO MEDIDORES CARRETEL ELETROMAGNÉTICOS - ETA II</t>
  </si>
  <si>
    <t>3.1</t>
  </si>
  <si>
    <t>4.1</t>
  </si>
  <si>
    <t>5.1</t>
  </si>
  <si>
    <t>5.2</t>
  </si>
  <si>
    <t>6.1</t>
  </si>
  <si>
    <t>M²</t>
  </si>
  <si>
    <t>CV00609</t>
  </si>
  <si>
    <t>SABESP</t>
  </si>
  <si>
    <t>PLACA AÇO GALV ESP=1,30 MM INCLUSIVE PINTURA PARA IDENTIFICAÇÃO DE OBRAS</t>
  </si>
  <si>
    <t>1.5</t>
  </si>
  <si>
    <t>-</t>
  </si>
  <si>
    <t>SINAPI</t>
  </si>
  <si>
    <t>HM01200</t>
  </si>
  <si>
    <t>HM07057</t>
  </si>
  <si>
    <t>HM05223</t>
  </si>
  <si>
    <t>HM04211</t>
  </si>
  <si>
    <t>HM01381</t>
  </si>
  <si>
    <t>HM07055</t>
  </si>
  <si>
    <t>HM01210</t>
  </si>
  <si>
    <t>HM07059</t>
  </si>
  <si>
    <t>ALVENARIA DE BLOCOS ESTRUTURAIS DE CONCRETO 19 X 19 X 39 CM</t>
  </si>
  <si>
    <t>DEPARTAMENTO DE ÁGUA E ESGOTO DE AMERICANA</t>
  </si>
  <si>
    <t>Orçamento Sintético Global</t>
  </si>
  <si>
    <t>QUANT.</t>
  </si>
  <si>
    <t>PREÇO UNIT. S/BDI (R$)</t>
  </si>
  <si>
    <t>PREÇO UNIT. C/BDI (R$)</t>
  </si>
  <si>
    <t>PREÇO TOTAL (R$)</t>
  </si>
  <si>
    <t>1.1.1</t>
  </si>
  <si>
    <t>SBC</t>
  </si>
  <si>
    <t>MOBILIZACAO/DESMOBILIZACAO/MAO DE OBRA E EQUIP.</t>
  </si>
  <si>
    <t>1.1.2</t>
  </si>
  <si>
    <t xml:space="preserve">02.02.150 </t>
  </si>
  <si>
    <t>CDHU</t>
  </si>
  <si>
    <t>LOCAÇÃO DE CONTAINER TIPO DEPÓSITO - ÁREA MÍNIMA 13,80 m²</t>
  </si>
  <si>
    <t>MES</t>
  </si>
  <si>
    <t>1.1.3</t>
  </si>
  <si>
    <t xml:space="preserve">02.02.120 </t>
  </si>
  <si>
    <t>LOCAÇÃO DE CONTAINER TIPO ALOJAMENTO - ÁREA MÍNIMA 13,80 m²</t>
  </si>
  <si>
    <t>1.1.4</t>
  </si>
  <si>
    <t xml:space="preserve">02.02.140 </t>
  </si>
  <si>
    <t>LOCAÇÃO DE CONTAINER TIPO ESCRITÓRIO COM 
2 VASOS SANITÁRIOS, 2 LAVATÓRIOS, 2 MICTÓRIOS E 4 PONTOS PARA CHUVEIRO - ÁREA MÍNIMA DE 13,80 M²</t>
  </si>
  <si>
    <t xml:space="preserve">02.01.180 </t>
  </si>
  <si>
    <t>BANHEIRO QUÍMICO MODELO STANDARD, COM MANUTENÇÃO CONFORME EXIGÊNCIAS DA CESTESB</t>
  </si>
  <si>
    <t>DESPESAS GERAIS DE MANUTENCAO CANTEIRO DE OBRAS</t>
  </si>
  <si>
    <t>INSTALACAO PROVISORIA DE ENERGIA COM POSTE/MEDIDOR/ATERRAMENTO</t>
  </si>
  <si>
    <t>1.2.1</t>
  </si>
  <si>
    <t>DEPARTAMENTO DE AGUA E ESGOTO DE AMERICANA</t>
  </si>
  <si>
    <t>Cronograma Físico-Financeiro</t>
  </si>
  <si>
    <t>DISCRIMINAÇÃO DE  ATIVIDADES</t>
  </si>
  <si>
    <t>VALORES (R$)</t>
  </si>
  <si>
    <t>TOTAL (R$)</t>
  </si>
  <si>
    <t>TOTAIS EM R$</t>
  </si>
  <si>
    <t>TOTAIS EM %</t>
  </si>
  <si>
    <t>Cotações</t>
  </si>
  <si>
    <t>VALOR UNITÁRIO</t>
  </si>
  <si>
    <t>DISCRIMINAÇÃO</t>
  </si>
  <si>
    <t xml:space="preserve">Leis Sociais = </t>
  </si>
  <si>
    <t>1.6</t>
  </si>
  <si>
    <t>1.7</t>
  </si>
  <si>
    <t>1.9</t>
  </si>
  <si>
    <t xml:space="preserve">BDI insumos - obras e serviços = </t>
  </si>
  <si>
    <t>EL07572</t>
  </si>
  <si>
    <t>EL07570</t>
  </si>
  <si>
    <t>Colar de tomada tipo meia-cana DN150 mm x 1.1/2" FoFo</t>
  </si>
  <si>
    <t>Colar de tomada tipo meia-cana DN200 mm x 1.1/2" FoFo</t>
  </si>
  <si>
    <t>Colar de tomada tipo meia-cana DN250 mm x 1.1/2" FoFo</t>
  </si>
  <si>
    <t>Colar de tomada tipo meia-cana DN300 mm x 1.1/2" FoFo</t>
  </si>
  <si>
    <t>Colar de tomada tipo meia-cana DN350 mm x 1.1/2" FoFo</t>
  </si>
  <si>
    <t>Colar de tomada tipo meia-cana DN400 mm x 1.1/2" FoFo</t>
  </si>
  <si>
    <t>Colar de tomada tipo meia-cana DN500 mm x 1.1/2" FoFo</t>
  </si>
  <si>
    <t>MEDIDOR DE VAZÃO CARRETEL ELETROMAGNÉTICO</t>
  </si>
  <si>
    <t>EMPRESA X</t>
  </si>
  <si>
    <t>1.8</t>
  </si>
  <si>
    <t>TECNOFLUID</t>
  </si>
  <si>
    <t>PITOMETRIA (PERFIL DE VELOCIDADES) - MANÔMETRO DIGITAL - ESCALA 0 A 250 MCA</t>
  </si>
  <si>
    <t>PNCP - SIMAE JHL/SC</t>
  </si>
  <si>
    <t>PNCP - Pref. Sete Barras/SP</t>
  </si>
  <si>
    <t>FANUEL</t>
  </si>
  <si>
    <t>O.05.000.068533</t>
  </si>
  <si>
    <t>HM05225</t>
  </si>
  <si>
    <t xml:space="preserve">Medidor De Vazão Tipo Turbina- Inserção </t>
  </si>
  <si>
    <t>CONTRATAÇÃO PARA FORNECIMENTO E INSTALAÇÃO DE MACRO MEDIDORES DE VAZÃO E VÁLVULAS REDUTORAS DE PRESSÃO DO SISTEMA DE DISTRIBUIÇÃO DE ÁGUA DO MUNICÍPIO DE AMERICANA/SP</t>
  </si>
  <si>
    <t>MACRO MEDIDORES</t>
  </si>
  <si>
    <t>MACRO MEDIDORES - SAÍDA DOS RESERVATÓRIOS</t>
  </si>
  <si>
    <t>1.2.2</t>
  </si>
  <si>
    <t>1.3.1</t>
  </si>
  <si>
    <t>1.5.1</t>
  </si>
  <si>
    <t>1.5.2</t>
  </si>
  <si>
    <t>1.5.3</t>
  </si>
  <si>
    <t>1.3.2</t>
  </si>
  <si>
    <t>1.3.3</t>
  </si>
  <si>
    <t>Tubo Galvanizado ou PVC roscável DN 1.1/2" x 2,0 m</t>
  </si>
  <si>
    <t>Niple redução DN 1.1/2" x 1"</t>
  </si>
  <si>
    <t>Ventosa DN 1"</t>
  </si>
  <si>
    <t>HM01206</t>
  </si>
  <si>
    <t>Item</t>
  </si>
  <si>
    <t>Frente</t>
  </si>
  <si>
    <t>Valor (R$)</t>
  </si>
  <si>
    <t>TOTAL GERAL (R$)</t>
  </si>
  <si>
    <t>RESUMO</t>
  </si>
  <si>
    <t>VÁLVULAS REDUTORAS DE PRESSÃO</t>
  </si>
  <si>
    <t>PNCP</t>
  </si>
  <si>
    <t>MECALTEC</t>
  </si>
  <si>
    <t>SERVIÇOS INICIAIS</t>
  </si>
  <si>
    <t>SINALIZAÇÃO E SEGURANÇA</t>
  </si>
  <si>
    <t>SINALIZAÇÃO DE TRÁFEGO</t>
  </si>
  <si>
    <t>DEMOLICOES E RETIRADAS</t>
  </si>
  <si>
    <t>CARGA, DESCARGA E TRANSPORTE DE ENTULHO</t>
  </si>
  <si>
    <t>CARGA, MANOBRA E DESCARGA DE ENTULHO EM CAMINHÃO BASCULANTE 6 M³ - CARGA COM ESCAVADEIRA HIDRÁULICA  (CAÇAMBA DE 0,80 M³ / 111 HP) E DESCARGA LIVRE</t>
  </si>
  <si>
    <t>TAXA DE DESTINAÇÃO DE RESÍDUO SÓLIDO EM ATERRO</t>
  </si>
  <si>
    <t>T</t>
  </si>
  <si>
    <t>MOVIMENTO DE TERRA</t>
  </si>
  <si>
    <t>ESCAVACOES, CARGAS E TRANSPORTES</t>
  </si>
  <si>
    <t>2.1.1</t>
  </si>
  <si>
    <t>ESCAVAÇÃO EM QUALQUER TERRENO, EXCETO ROCHA, PROF. DE 1,25 A 3,00 M (A)</t>
  </si>
  <si>
    <t>ATERRO E COMPACTACAO</t>
  </si>
  <si>
    <t>2.2.1</t>
  </si>
  <si>
    <t>ATERRO DE VALAS, POÇOS E CAVAS COMPACTADO MECANICAMENTE, COM CONTROLE DO G.C. &gt;= 95% DO E.N.C. (A)</t>
  </si>
  <si>
    <t>ESGOTAMENTO</t>
  </si>
  <si>
    <t>3.1.1</t>
  </si>
  <si>
    <t>H</t>
  </si>
  <si>
    <t>SERVICOS COMPLEMENTARES EXTERNOS</t>
  </si>
  <si>
    <t>RECOMPOSIÇÃO DE PAVIMENTO ASFÁLTICO</t>
  </si>
  <si>
    <t>4.1.1</t>
  </si>
  <si>
    <t>EXECUÇÃO DE PAVIMENTO COM APLICAÇÃO DE CONCRETO ASFÁLTICO, CAMADA DE ROLAMENTO - EXCLUSIVE CARGA E TRANSPORTE.</t>
  </si>
  <si>
    <t>4.1.2</t>
  </si>
  <si>
    <t>CARGA DE MISTURA ASFÁLTICA EM CAMINHÃO BASCULANTE 6 M³</t>
  </si>
  <si>
    <t>4.1.3</t>
  </si>
  <si>
    <t>TRANSPORTE COM CAMINHÃO BASCULANTE DE 6 M3, EM VIA URBANA PAVIMENTADA, DMT ATÉ 30 KM (UNIDADE: M3XKM) - CBUQ</t>
  </si>
  <si>
    <t>4.1.4</t>
  </si>
  <si>
    <t>IMPRIMAÇÃO BETUMINOSA LIGANTE</t>
  </si>
  <si>
    <t>4.1.5</t>
  </si>
  <si>
    <t>IMPRIMAÇÃO BETUMINOSA IMPERMEABILIZANTE</t>
  </si>
  <si>
    <t>4.1.6</t>
  </si>
  <si>
    <t>BASE DE BICA CORRIDA</t>
  </si>
  <si>
    <t>5.1.1</t>
  </si>
  <si>
    <t>5.1.2</t>
  </si>
  <si>
    <t>5.1.3</t>
  </si>
  <si>
    <t>5.1.4</t>
  </si>
  <si>
    <t>5.1.5</t>
  </si>
  <si>
    <t>5.1.6</t>
  </si>
  <si>
    <t>5.1.7</t>
  </si>
  <si>
    <t>5.1.8</t>
  </si>
  <si>
    <t>5.1.9</t>
  </si>
  <si>
    <t>5.2.1</t>
  </si>
  <si>
    <t>BLOCOS DE ANCORAGEM</t>
  </si>
  <si>
    <t>LUVA DE CORRER COM BOLSAS JUNTA MECÂNICA FERRO FUNDIDO DN=100 MM * (19,14 KG) PINTURA BETUMINOSA C/ACESSÓRIOS INCLUSOS NBR 7675 ÁGUA</t>
  </si>
  <si>
    <t>05.09.006</t>
  </si>
  <si>
    <t>54.03.230</t>
  </si>
  <si>
    <t>54.03.240</t>
  </si>
  <si>
    <t>54.01.220</t>
  </si>
  <si>
    <r>
      <t>M</t>
    </r>
    <r>
      <rPr>
        <b/>
        <sz val="8"/>
        <rFont val="Arial"/>
        <family val="2"/>
      </rPr>
      <t>²</t>
    </r>
  </si>
  <si>
    <t>M³</t>
  </si>
  <si>
    <t>M³ x KM</t>
  </si>
  <si>
    <t>DEMOLIÇÃO PARCIAL DE PAVIMENTO ASFÁLTICO, DE FORMA MECANIZADA, SEM REAPROVEITAMENTO.</t>
  </si>
  <si>
    <t xml:space="preserve">TRANSPORTE COM CAMINHÃO BASCULANTE DE 6 M3, EM VIA URBANA PAVIMENTADA, DMT ATÉ 30 KM (UNIDADE: M3XKM). </t>
  </si>
  <si>
    <t>MOTOBOMBA TRASH (PARA ÁGUA SUJA) AUTO ESCORVANTE, MOTOR GASOLINA DE 6,41 HP, DIÂMETROS DE SUCÇÃO X RECALQUE: 3" X 3", HM/Q = 10 MCA / 60 M3/H A 23 MCA / 0 M3/H - CHP DIURNO</t>
  </si>
  <si>
    <t>HM03509</t>
  </si>
  <si>
    <t>HM03218</t>
  </si>
  <si>
    <t>ANCORAGEM EM CONCRETO EM PEÇAS DIÂMETRO 60 MM</t>
  </si>
  <si>
    <t>REDUÇÃO CONCÊNTRICA COM FLANGES PN10 FERRO FUNDIDO DN=200 X 100 MM * (30,50 KG) PINTURA BETUMINOSA, ACESSÓRIOS NÃO INCLUSOS NBR 7675 ÁGUA</t>
  </si>
  <si>
    <t>HM03320</t>
  </si>
  <si>
    <t>VÁLVULA GAVETA C/FLANGES PN10/16 FERRO FUNDIDO DN=100 MM * (20,00 KG), ACION. VOLANTE, CUNHA DE BORRACHA, MÉTRICA CHATA, PINTURA EPÓXI EM PÓ NBR 14968 ÁGUA</t>
  </si>
  <si>
    <t>HM04203</t>
  </si>
  <si>
    <t>6.1.1</t>
  </si>
  <si>
    <t>6.1.2</t>
  </si>
  <si>
    <t>6.1.3</t>
  </si>
  <si>
    <t>6.1.4</t>
  </si>
  <si>
    <t>6.1.5</t>
  </si>
  <si>
    <t>6.1.6</t>
  </si>
  <si>
    <t>6.1.7</t>
  </si>
  <si>
    <t>6.1.8</t>
  </si>
  <si>
    <t>6.1.9</t>
  </si>
  <si>
    <t>MERCADO LIVRE</t>
  </si>
  <si>
    <t>HM06177</t>
  </si>
  <si>
    <t>HM06175</t>
  </si>
  <si>
    <t>Medidor De Vazão Tipo Turbina- Inserção</t>
  </si>
  <si>
    <t>MEDIDOR DE VAZÃO CARRETEL ELETROMAGNÉTICO 200MM</t>
  </si>
  <si>
    <t>MEDIDOR DE VAZÃO ELETROMAGNÉTICO DE INSERÇÃO 300MM (Sharpflow Conaut ou MS2500 Lamon)</t>
  </si>
  <si>
    <t>Leis Sociais = 92,70% | BDI = 26,98%</t>
  </si>
  <si>
    <t>TOTAL GERAL:</t>
  </si>
  <si>
    <t>UNID.</t>
  </si>
  <si>
    <t>CANTEIRO E ADMINISTRAÇÃO LOCAL</t>
  </si>
  <si>
    <t>LOCAÇÕES</t>
  </si>
  <si>
    <t>INSTALAÇÕES PROVISÓRIAS</t>
  </si>
  <si>
    <t>PLACA DA OBRA</t>
  </si>
  <si>
    <t>ADMINISTRAÇÃO</t>
  </si>
  <si>
    <t>PLACA EM AÇO</t>
  </si>
  <si>
    <t>ADMINISTRAÇÃO LOCAL</t>
  </si>
  <si>
    <t>ENGENHEIRO CIVIL DE OBRA PLENO</t>
  </si>
  <si>
    <t>SUBTOTAL</t>
  </si>
  <si>
    <t>1.1.5</t>
  </si>
  <si>
    <t>1.1.6</t>
  </si>
  <si>
    <t>SERVIÇOS TÉCNICOS</t>
  </si>
  <si>
    <t>LOCAÇÃO DE OBRAS LOCALIZADAS</t>
  </si>
  <si>
    <t>LOCAÇÃO DE OBRAS PONTUAIS</t>
  </si>
  <si>
    <t>EQD</t>
  </si>
  <si>
    <t>4.2</t>
  </si>
  <si>
    <t>CADASTRO DE OBRAS PONTUAIS</t>
  </si>
  <si>
    <t>CADASTRO DE OBRAS LOCALIZADAS</t>
  </si>
  <si>
    <t>4.3</t>
  </si>
  <si>
    <t>EXECUÇÃO DE SONDAGENS</t>
  </si>
  <si>
    <t>SONDAGEM DE REDES E PEÇAS LOCALIZADAS (CAVAS) COM PAVIMENTAÇÃO</t>
  </si>
  <si>
    <t>4.2.1</t>
  </si>
  <si>
    <t>4.3.1</t>
  </si>
  <si>
    <t>FORNECIMENTO E INSTALAÇÃO DE MACRO MEDIDORES DE VAZÃO E VÁLVULAS REDUTORAS DE PRESSÃO E DELIMITAÇÃO DE ÁREAS DE INFLUÊNCIA</t>
  </si>
  <si>
    <t>VÁLVULAS REDUTORAS DE PRESSÃO (VRPs) E DELIMITAÇÃO DE ÁREAS DE INFLUÊNCIA</t>
  </si>
  <si>
    <t>DRENAGEM</t>
  </si>
  <si>
    <t>MATERIAIS HIDRÁULICOS</t>
  </si>
  <si>
    <t>CAP, PVC PBA, JE, DN 50 / DE 60 MM, PARA REDE DE AGUA (NBR 10351)</t>
  </si>
  <si>
    <t>ANEL BORRACHA, PARA TUBO/CONEXAO PVC PBA, DN 50 MM, PARA REDE AGUA</t>
  </si>
  <si>
    <t>CURVA PVC PBA, JE, PB, 45 GRAUS, DN 50 / DE 60 MM, PARA REDE DE AGUA</t>
  </si>
  <si>
    <t>TUBO PVC PBA JEI, CLASSE 20, DN 50 MM, PARA REDE DE AGUA (NBR 5647)</t>
  </si>
  <si>
    <t>ASSENTAMENTO E FORNECIMENTO DE CURVA PVC PBA, JE, PB, 45 GRAUS, DN 50 / DE 60 MM, PARA REDE AGUA, JUNTA ELÁSTICA INTEGRADA, INSTALADO EM LOCAL COM NÍVEL BAIXO DE INTERFERÊNCIAS (INCLUI FORNECIMENTO). AF_05/2024</t>
  </si>
  <si>
    <t>ASSENTAMENTO DE TUBO DE PVC PBA PARA REDE DE ÁGUA, DN 50 MM, JUNTA ELÁSTICA INTEGRADA, INSTALADO EM LOCAL COM NÍVEL ALTO DE INTERFERÊNCIAS (NÃO INCLUI FORNECIMENTO). AF_05/2024</t>
  </si>
  <si>
    <t>ASSENTAMENTO DE CAP DE PVC PBA PARA REDE DE ÁGUA, DN 50, JUNTA ELÁSTICA INTEGRADA, INSTALADO EM LOCAL COM NÍVEL BAIXO DE INTERFERÊNCIAS (NÃO INCLUI FORNECIMENTO). AF_05/2024</t>
  </si>
  <si>
    <t>PVC/PBA - INSUMOS</t>
  </si>
  <si>
    <t>PVC/PBA - ASSENTAMENTO</t>
  </si>
  <si>
    <t>5.2.2</t>
  </si>
  <si>
    <t>5.3</t>
  </si>
  <si>
    <t>5.3.1</t>
  </si>
  <si>
    <t>SUBTOTAL 5</t>
  </si>
  <si>
    <t>SUBTOTAL 6</t>
  </si>
  <si>
    <t>DELIMITAÇÃO DE ÁREAS DE INFLUÊNCIA DAS VRPs</t>
  </si>
  <si>
    <t>VÁLVULAS REDUTORAS DE PRESSÃO (VRPs)</t>
  </si>
  <si>
    <t>INSTALAÇÃO DE VRP</t>
  </si>
  <si>
    <t>CONEXÕES EM AÇO</t>
  </si>
  <si>
    <t>CONEXÕES EM PVC PBA</t>
  </si>
  <si>
    <t>REGISTRO E VÁLVULAS</t>
  </si>
  <si>
    <t>ABRIGO DA VRP</t>
  </si>
  <si>
    <t>FUNDAÇÃO</t>
  </si>
  <si>
    <t>ALVENARIA DE VEDAÇÃO</t>
  </si>
  <si>
    <t>BROCA DE CONCRETO, DIÂMETRO 15 CM</t>
  </si>
  <si>
    <t>CONCRETO NÃO ESTRUTURAL - MÍNIMO 150 KG DE CIMENTO/M³</t>
  </si>
  <si>
    <t>FÔRMA DE MADEIRA - COMUM</t>
  </si>
  <si>
    <t>5.3.2</t>
  </si>
  <si>
    <t>LAJE PRÉ-MOLDADA</t>
  </si>
  <si>
    <t>6.2</t>
  </si>
  <si>
    <t>6.2.1</t>
  </si>
  <si>
    <t>6.2.2</t>
  </si>
  <si>
    <t>6.2.3</t>
  </si>
  <si>
    <t>6.3.1</t>
  </si>
  <si>
    <t>6.3.2</t>
  </si>
  <si>
    <t>6.3.3</t>
  </si>
  <si>
    <t>6.3.4</t>
  </si>
  <si>
    <t>TOTAL VRP PRAIA DOS NAMORADOS:</t>
  </si>
  <si>
    <t>ASSENTAMENTO DE CONEXÃO 3 ACESSOS DE PVC PBA PARA REDE DE ÁGUA, DN 100, JUNTA ELÁSTICA INTEGRADA, INSTALADO EM LOCAL COM NÍVEL ALTO DE INTERFERÊNCIAS (NÃO INCLUI FORNECIMENTO). AF_05/2024</t>
  </si>
  <si>
    <t>ASSENTAMENTO E FORNECIMENTO DE LUVA DE CORRER, PVC PBA, JE, DN 50 / DE 60 MM, PARA REDE AGUA, JUNTA ELÁSTICA INTEGRADA, INSTALADO EM LOCAL COM NÍVEL ALTO DE INTERFERÊNCIAS (INCLUI FORNECIMENTO). AF_05/2024</t>
  </si>
  <si>
    <t>AÇO GALVANIZADO - ASSENTAMENTO</t>
  </si>
  <si>
    <t>46.07.060</t>
  </si>
  <si>
    <t>ASSENTAMENTO DE TUBO GALVANIZADO DN= 2´, INCLUSIVE CONEXÕES</t>
  </si>
  <si>
    <t>6.4.1</t>
  </si>
  <si>
    <t>6.5.1</t>
  </si>
  <si>
    <t>6.5.2</t>
  </si>
  <si>
    <t>6.5.3</t>
  </si>
  <si>
    <t>REGISTRO E VÁLVULAS - MONTAGEM</t>
  </si>
  <si>
    <t>6.6.1</t>
  </si>
  <si>
    <t>6.6.2</t>
  </si>
  <si>
    <t>VÁLVULA GAVETA FOFO ATÉ DN 200 MM - MONTAGEM</t>
  </si>
  <si>
    <t>VÁLVULA REDUTORA DE PRESSÃO FOFO ATÉ DN 200 MM - MONTAGEM</t>
  </si>
  <si>
    <t>ALVENARIA DE ELEVAÇÃO, BLOCOS DE CONCRETO 14 X 19 X 39 CM</t>
  </si>
  <si>
    <t>HM07199</t>
  </si>
  <si>
    <t>CURVA 90º FÊMEA DN 2" COM ROSCA - AÇO GALVANIZADO</t>
  </si>
  <si>
    <t>UNIÃO ASSENTO PLANO DN 2" - AÇO GALVANIZADO</t>
  </si>
  <si>
    <t>LUVA DE CORRER PVC PBA, JE, DN 50 / DE 60 MM, PARA REDE DE AGUA</t>
  </si>
  <si>
    <t>LUVA SIMPLES PVC PBA, JE, DN 100 / DE 110 MM, PARA REDE DE AGUA</t>
  </si>
  <si>
    <t>TE DE REDUCAO, PVC PBA, BBB, JE, DN 100 X 50 / DE 110 X 60 MM, PARA REDE DE AGUA</t>
  </si>
  <si>
    <t>6.2.4</t>
  </si>
  <si>
    <t>ASSENTAMENTO E FORNECIMENTO DE LUVA SIMPLES, PVC PBA, JE, DN 100 / DE 110 MM, PARA REDE AGUA, JUNTA ELÁSTICA INTEGRADA, INSTALADO EM LOCAL COM NÍVEL ALTO DE INTERFERÊNCIAS (INCLUI FORNECIMENTO). AF_05/2024</t>
  </si>
  <si>
    <t>6.5.4</t>
  </si>
  <si>
    <t>TÊ DN 2" COM ROSCA FÊMEA - AÇO GALVANIZADO</t>
  </si>
  <si>
    <t>FLANGES PARA SEXTAVADO DN 2" PN10 - AÇO GALVANIZADO</t>
  </si>
  <si>
    <t>BUCHA REDUÇÃO DN 2"x1" - AÇO GALVANIZADO</t>
  </si>
  <si>
    <t>COTOVELO 90º COM ROSCA FÊMEA - AÇO GALVANIZADO</t>
  </si>
  <si>
    <t>TUBO EM AÇO DN 2" - AÇO GALVANIZADO</t>
  </si>
  <si>
    <t>REGISTRO DE GAVETA COM BOLSAS PARA PVC PBA DE 60mm - FERRO FUNDIDO</t>
  </si>
  <si>
    <t>VENTOSA SIMPLES DN 1" - FERRO FUNDIDO</t>
  </si>
  <si>
    <t>VÁLVULA REDUTORA DE PRESSÃO - CÂMARA DUPLA DN 50mm - FERRO FUNDIDO</t>
  </si>
  <si>
    <t>O.09.000.064001</t>
  </si>
  <si>
    <t>VÁVULA DE GAVETA DN 2" COM ROSCA - AÇO GALVANIZADO</t>
  </si>
  <si>
    <t>FILTRO TIPO Y DN 2" COM ROSCA FÊMEA</t>
  </si>
  <si>
    <t>LUVA DE CORRER PVC PBA, JE, DN 75 / DE 85 MM, PARA REDE DE AGUA</t>
  </si>
  <si>
    <t>TE DE REDUCAO, PVC PBA, BBB, JE, DN 75 X 50 / DE 85 X 60 MM, PARA REDE DE AGUA</t>
  </si>
  <si>
    <t>ASSENTAMENTO DE CONEXÃO 3 ACESSOS DE PVC PBA PARA REDE DE ÁGUA, DN 75, JUNTA ELÁSTICA INTEGRADA, INSTALADO EM LOCAL COM NÍVEL ALTO DE INTERFERÊNCIAS (NÃO INCLUI FORNECIMENTO). AF_05/2024</t>
  </si>
  <si>
    <t>ASSENTAMENTO E FORNECIMENTO DE LUVA SIMPLES, PVC PBA, JE, DN 75 / DE 85 MM, PARA REDE AGUA, JUNTA ELÁSTICA INTEGRADA, INSTALADO EM LOCAL COM NÍVEL BAIXO DE INTERFERÊNCIAS (INCLUI FORNECIMENTO). AF_05/2024</t>
  </si>
  <si>
    <t>TOTAL VRP ESTRADA DA FAZENDINHA:</t>
  </si>
  <si>
    <t>TOTAL VRP TANCREDI:</t>
  </si>
  <si>
    <t>4.3.2</t>
  </si>
  <si>
    <t>5.2.3</t>
  </si>
  <si>
    <t>5.3.3</t>
  </si>
  <si>
    <t>5.4</t>
  </si>
  <si>
    <t>5.4.1</t>
  </si>
  <si>
    <t>5.5</t>
  </si>
  <si>
    <t>5.5.1</t>
  </si>
  <si>
    <t>5.5.2</t>
  </si>
  <si>
    <t>5.5.4</t>
  </si>
  <si>
    <t>5.6</t>
  </si>
  <si>
    <t>5.6.1</t>
  </si>
  <si>
    <t>5.6.2</t>
  </si>
  <si>
    <t>REGISTRO DE GAVETA COM BOLSAS PARA PVC PBA DE 85mm - FERRO FUNDIDO</t>
  </si>
  <si>
    <t>REGISTRO DE GAVETA COM BOLSAS PARA PVC PBA DE110mm - FERRO FUNDIDO</t>
  </si>
  <si>
    <t>TE, PVC PBA, BBB, 90 GRAUS, DN 50 / DE 60 MM, PARA REDE DE AGUA</t>
  </si>
  <si>
    <t>TOTAL VRP SANTINO FARAONE:</t>
  </si>
  <si>
    <t>TOTAL VRP JARDIM DA MATA:</t>
  </si>
  <si>
    <t>CONEXÕES EM FERRO FUNDIDO</t>
  </si>
  <si>
    <t>FILTRO TIPO Y  COM FLANGES DN 4" (100 mm)</t>
  </si>
  <si>
    <t>VÁLVULA REDUTORA DE PRESSÃO CÂMARA DUPLA DN 100mm - FERRO FUNDIDO</t>
  </si>
  <si>
    <t>CONEXÕES E VÁLVULAS - MONTAGEM</t>
  </si>
  <si>
    <t>TUBOS E CONEXÕES METÁLICOS FLANGEADOS - MONTAGEM</t>
  </si>
  <si>
    <t>SUBTOTAL 1</t>
  </si>
  <si>
    <t>TOTAL VRP GERONIMO SANTON:</t>
  </si>
  <si>
    <t>TOCO FLANGE E PONTA PN10/16 FERRO FUNDIDO DN=100 MM L=250 MM * (14,00 KG) PINTURA BETUMINOSA, ACESSÓRIOS NÃO INCLUSOS NBR 7675 ÁGUA</t>
  </si>
  <si>
    <t>VRP GERÕNIMO SANTON (EM CAIXA EXISTENTE)</t>
  </si>
  <si>
    <t>VRP SANTA LÚCIA (EM CAIXA EXISTENTE)</t>
  </si>
  <si>
    <t>TOTAL VRP SANTA LÚCIA:</t>
  </si>
  <si>
    <t>TOCO COM FLANGE E PONTA PN10/16 FERRO FUNDIDO DN=100 MM L=250 MM * (14,00 KG) PINTURA BETUMINOSA, ACESSÓRIOS NÃO INCLUSOS NBR 7675 ÁGUA</t>
  </si>
  <si>
    <t>Composições de Preços Unitários</t>
  </si>
  <si>
    <t>Código</t>
  </si>
  <si>
    <t>Descrição</t>
  </si>
  <si>
    <t>Unid.</t>
  </si>
  <si>
    <t>Coeficiente</t>
  </si>
  <si>
    <t>Preço Unitário (R$)</t>
  </si>
  <si>
    <t>Total (R$)</t>
  </si>
  <si>
    <t>SINAPI 100324</t>
  </si>
  <si>
    <t>LASTRO COM MATERIAL GRANULAR (PEDRA BRITADA N.1 E PEDRA BRITADA N.2), APLICADO EM PISOS OU LAJES SOBRE SOLO, ESPESSURA DE *10 CM*. AF_01/2024</t>
  </si>
  <si>
    <t>M2</t>
  </si>
  <si>
    <t>M3</t>
  </si>
  <si>
    <t>SINAPI 89478</t>
  </si>
  <si>
    <t>ALVENARIA DE BLOCOS DE CONCRETO ESTRUTURAL 14X19X29 CM (ESPESSURA 14 CM), FBK = 4,5 MPA, UTILIZANDO COLHER DE PEDREIRO. AF_10/2022</t>
  </si>
  <si>
    <t>SINAPI 90283</t>
  </si>
  <si>
    <t>GRAUTE FGK=20 MPA; TRAÇO 1:1,8:2,1:0,4 (EM MASSA SECA DE CIMENTO/ AREIA GROSSA/ BRITA 0/ ADITIVO) - PREPARO MECÂNICO COM BETONEIRA 400 L. AF_09/2021</t>
  </si>
  <si>
    <t>SINAPI 88279</t>
  </si>
  <si>
    <t>MONTADOR ELETROMECÂNICO COM ENCARGOS COMPLEMENTARES</t>
  </si>
  <si>
    <t>SABESP MO00035</t>
  </si>
  <si>
    <t>ENGENHEIRO PLENO</t>
  </si>
  <si>
    <t>SINAPI 88243</t>
  </si>
  <si>
    <t>AJUDANTE ESPECIALIZADO COM ENCARGOS COMPLEMENTARES</t>
  </si>
  <si>
    <t>DATA BASE - REGIÃO: SABESP Jan/26; SINAPI/SP Jan/26; CDHU Jan/26; SBC Fev/26 ; PNPC</t>
  </si>
  <si>
    <t>GRADE DE PISO PULTRUDADA PRFV (FIBRA DE VIDRO) H=38 MM VÃO 38X150 MM INCLUINDO QUADRO DE APOIO (NTS 330)</t>
  </si>
  <si>
    <t>SABESP 70110172</t>
  </si>
  <si>
    <t>CAIXA PARA PROTEÇÃO PARA MACROMEDIDOR DE VAZÃO TIPO INSERÇÃO - 1,60 X 1,60 M - LOCALIZADOS EM ÁREA INTERNA</t>
  </si>
  <si>
    <t>CAIXA PARA PROTEÇÃO PARA MACROMEDIDOR DE VAZÃO TIPO INSERÇÃO - 1,60 X 1,60 M - LOCALIZADOS EM VIA PÚBLICA</t>
  </si>
  <si>
    <t>SABESP 70070237</t>
  </si>
  <si>
    <t>LAJE DE TAMPA EM CONCRETO ARMADO</t>
  </si>
  <si>
    <t>SABESP 70070230</t>
  </si>
  <si>
    <t>ASSENTAMENTO DE TAMPAO DE FERRO FUNDIDO 600 MM</t>
  </si>
  <si>
    <t>UN.</t>
  </si>
  <si>
    <t>SINAPI 21090</t>
  </si>
  <si>
    <t xml:space="preserve">TAMPAO FOFO ARTICULADO, COM BASE / REQUADRO, CLASSE D400 CARGA MAX 40 T, REDONDO, TAMPA 600 MM (COM INSCRICAO EM RELEVO DO TIPO DE REDE) </t>
  </si>
  <si>
    <t>CAIXA PARA PROTEÇÃO PARA MACROMEDIDOR DE VAZÃO TIPO INSERÇÃO - 4,00 X 3,00 M - LOCALIZADOS EM ÁREA INTERNA</t>
  </si>
  <si>
    <t>COMP. 01</t>
  </si>
  <si>
    <t>COMP. 02</t>
  </si>
  <si>
    <t>COMP. 03</t>
  </si>
  <si>
    <t>COMP. 04</t>
  </si>
  <si>
    <t>CR01 - SÃO VITO</t>
  </si>
  <si>
    <t>INSTALAÇÃO DE MACRO MEDIDORES</t>
  </si>
  <si>
    <t>INSUMOS</t>
  </si>
  <si>
    <t>INSTALAÇÃO</t>
  </si>
  <si>
    <t>ABRIGO</t>
  </si>
  <si>
    <t>2.1.2</t>
  </si>
  <si>
    <t>2.1.3</t>
  </si>
  <si>
    <t>2.3.1</t>
  </si>
  <si>
    <t>CPU</t>
  </si>
  <si>
    <t>INSTALAÇÃO DE MACROMEDIDOR DE VAZÃO, TIPO INSERÇÃO, NÃO INTRUSIVO, INCLUSIVE A REALIZAÇÃO DE PITOMETRIA</t>
  </si>
  <si>
    <t>CR02 - CENTRO</t>
  </si>
  <si>
    <t>SUBTOTAL 2</t>
  </si>
  <si>
    <t>TOTAL MACRO MEDIDORES CR-01:</t>
  </si>
  <si>
    <t>2.1.4</t>
  </si>
  <si>
    <t>2.1.5</t>
  </si>
  <si>
    <t>2.1.6</t>
  </si>
  <si>
    <t>TOTAL MACRO MEDIDORES CR-02:</t>
  </si>
  <si>
    <t>REMOÇÃO DE PISO DE BLOCO INTERTRAVADO OU DE PEDRA PORTUGUESA, DE FORMA MANUAL, COM REAPROVEITAMENTO. AF_09/2023</t>
  </si>
  <si>
    <t>CR03 - SANTA CATARINA</t>
  </si>
  <si>
    <t>LEVANTAMENTO DE PAVIMENTAÇÃO DE CONCRETO NÃO ESTRUTURAL (A)</t>
  </si>
  <si>
    <t>RECOMPOSIÇÃO DE PASSEIO</t>
  </si>
  <si>
    <t>SUBTOTAL 4</t>
  </si>
  <si>
    <t>EXECUÇÃO DE PASSEIOS EM MOSAICO (A)</t>
  </si>
  <si>
    <t>EXECUÇÃO DE PASSEIOS CIMENTADOS (A)</t>
  </si>
  <si>
    <t>TOTAL MACRO MEDIDORES CR-03:</t>
  </si>
  <si>
    <t>CR07 - SANTA MARIA</t>
  </si>
  <si>
    <t>TOTAL MACRO MEDIDORES CR-07:</t>
  </si>
  <si>
    <t>CR08 - SÃO ROQUE</t>
  </si>
  <si>
    <t>TOTAL MACRO MEDIDORES CR-08:</t>
  </si>
  <si>
    <t>CR09 - PARQUE NOVO MUNDO</t>
  </si>
  <si>
    <t>TOTAL MACRO MEDIDORES CR-09:</t>
  </si>
  <si>
    <t>2.3.2</t>
  </si>
  <si>
    <t>CR11 - JARDIM ALVORADA</t>
  </si>
  <si>
    <t>TOTAL MACRO MEDIDORES CR-11:</t>
  </si>
  <si>
    <t>CR12 - JARDIM BRASIL</t>
  </si>
  <si>
    <t>TOTAL MACRO MEDIDORES CR-12:</t>
  </si>
  <si>
    <t>CR13 - CHÁCARAS LETÔNIA</t>
  </si>
  <si>
    <t>TOTAL MACRO MEDIDORES CR-13:</t>
  </si>
  <si>
    <t>CR14 - PRAIA AZUL</t>
  </si>
  <si>
    <t>TOTAL MACRO MEDIDORES CR-14:</t>
  </si>
  <si>
    <t>MACRO MEDIDORES - ETAS</t>
  </si>
  <si>
    <t>TOTAL MACRO MEDIDORES ETA I:</t>
  </si>
  <si>
    <t>ETA I (SAÍDA DOS FILTROS)</t>
  </si>
  <si>
    <t>ETA II</t>
  </si>
  <si>
    <t>TOTAL MACRO MEDIDORES ETA II:</t>
  </si>
  <si>
    <t>COMP. 05</t>
  </si>
  <si>
    <t>AMPLIAÇÃO DE CAIXA PARA PROTEÇÃO PARA MACROMEDIDOR DE VAZÃO TIPO INSERÇÃO - CR-09</t>
  </si>
  <si>
    <t>MONTAGEM DE MACRO MEDIDOR TIPO CARRETEL DN 200 MM</t>
  </si>
  <si>
    <t>UM</t>
  </si>
  <si>
    <t>HM03512</t>
  </si>
  <si>
    <t>TOCO COM FLANGES AÇO CARBONO DN=200 MM L=10 CM</t>
  </si>
  <si>
    <t>KG</t>
  </si>
  <si>
    <t>24.03.060 CDHU</t>
  </si>
  <si>
    <t>ESCADA TIPO MARINHEIRO EM AÇO GALVANIZADO</t>
  </si>
  <si>
    <t>____/___/2026</t>
  </si>
</sst>
</file>

<file path=xl/styles.xml><?xml version="1.0" encoding="utf-8"?>
<styleSheet xmlns="http://schemas.openxmlformats.org/spreadsheetml/2006/main">
  <numFmts count="1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 &quot;* #,##0.00_-;&quot;-R$ &quot;* #,##0.00_-;_-&quot;R$ &quot;* \-??_-;_-@_-"/>
    <numFmt numFmtId="165" formatCode="_(&quot;R$ &quot;* #,##0.00_);_(&quot;R$ &quot;* \(#,##0.00\);_(&quot;R$ &quot;* \-??_);_(@_)"/>
    <numFmt numFmtId="166" formatCode="_-* #,##0.00_-;\-* #,##0.00_-;_-* \-??_-;_-@_-"/>
    <numFmt numFmtId="167" formatCode="&quot; &quot;#,##0.00&quot; &quot;;&quot;-&quot;#,##0.00&quot; &quot;;&quot; -&quot;#&quot; &quot;;&quot; &quot;@&quot; &quot;"/>
    <numFmt numFmtId="168" formatCode="0.0%"/>
    <numFmt numFmtId="169" formatCode="_(&quot;Cr$&quot;* #,##0.00_);_(&quot;Cr$&quot;* \(#,##0.00\);_(&quot;Cr$&quot;* &quot;-&quot;??_);_(@_)"/>
    <numFmt numFmtId="170" formatCode="_(* #,##0.00_);_(* \(#,##0.00\);_(* &quot;-&quot;??_);_(@_)"/>
    <numFmt numFmtId="171" formatCode="&quot;R$&quot;\ #,##0.00"/>
    <numFmt numFmtId="172" formatCode="dd\/mm\/yy"/>
    <numFmt numFmtId="173" formatCode="0.0000"/>
  </numFmts>
  <fonts count="69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  <charset val="1"/>
    </font>
    <font>
      <sz val="10"/>
      <name val="Arial"/>
      <family val="2"/>
      <charset val="1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1"/>
      <color rgb="FF000000"/>
      <name val="Liberation Sans1"/>
    </font>
    <font>
      <u/>
      <sz val="11"/>
      <color rgb="FF0563C1"/>
      <name val="Liberation Sans1"/>
    </font>
    <font>
      <b/>
      <sz val="14"/>
      <name val="Arial"/>
      <family val="2"/>
    </font>
    <font>
      <sz val="10"/>
      <color indexed="8"/>
      <name val="MS Sans Serif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sz val="10"/>
      <name val="Comic Sans MS"/>
      <family val="4"/>
    </font>
    <font>
      <sz val="11"/>
      <name val="Arial"/>
      <family val="2"/>
    </font>
    <font>
      <b/>
      <sz val="9"/>
      <name val="Arial"/>
      <family val="2"/>
    </font>
    <font>
      <b/>
      <i/>
      <sz val="8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2"/>
      <name val="Times New Roman"/>
      <family val="1"/>
    </font>
    <font>
      <sz val="10"/>
      <name val="MS Sans Serif"/>
      <family val="2"/>
    </font>
    <font>
      <b/>
      <sz val="9.85"/>
      <color indexed="8"/>
      <name val="Times New Roman"/>
      <family val="1"/>
    </font>
    <font>
      <sz val="11"/>
      <color indexed="8"/>
      <name val="Calibri"/>
      <family val="2"/>
    </font>
    <font>
      <sz val="10"/>
      <color indexed="8"/>
      <name val="MS Sans Serif"/>
      <family val="2"/>
    </font>
    <font>
      <b/>
      <sz val="8"/>
      <name val="Arial"/>
      <family val="2"/>
      <charset val="1"/>
    </font>
    <font>
      <b/>
      <sz val="8"/>
      <color rgb="FFFF0000"/>
      <name val="Arial"/>
      <family val="2"/>
    </font>
    <font>
      <b/>
      <sz val="10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sz val="8"/>
      <color rgb="FF333333"/>
      <name val="Arial"/>
      <family val="2"/>
    </font>
    <font>
      <b/>
      <sz val="8"/>
      <color rgb="FF2D3237"/>
      <name val="Arial"/>
      <family val="2"/>
    </font>
    <font>
      <sz val="8"/>
      <color rgb="FF2D3237"/>
      <name val="Arial"/>
      <family val="2"/>
    </font>
    <font>
      <b/>
      <sz val="9"/>
      <color theme="1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86">
    <xf numFmtId="0" fontId="0" fillId="0" borderId="0"/>
    <xf numFmtId="164" fontId="8" fillId="0" borderId="0" applyBorder="0" applyProtection="0"/>
    <xf numFmtId="164" fontId="10" fillId="0" borderId="0" applyBorder="0" applyProtection="0"/>
    <xf numFmtId="165" fontId="10" fillId="0" borderId="0" applyBorder="0" applyProtection="0"/>
    <xf numFmtId="0" fontId="8" fillId="0" borderId="0"/>
    <xf numFmtId="9" fontId="10" fillId="0" borderId="0" applyBorder="0" applyProtection="0"/>
    <xf numFmtId="9" fontId="10" fillId="0" borderId="0" applyBorder="0" applyProtection="0"/>
    <xf numFmtId="166" fontId="10" fillId="0" borderId="0" applyBorder="0" applyProtection="0"/>
    <xf numFmtId="0" fontId="7" fillId="0" borderId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3" fillId="0" borderId="0"/>
    <xf numFmtId="9" fontId="13" fillId="0" borderId="0" applyFill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44" fontId="13" fillId="0" borderId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0" fontId="22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23" fillId="0" borderId="0" applyBorder="0" applyProtection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" fillId="0" borderId="0"/>
    <xf numFmtId="0" fontId="8" fillId="0" borderId="0"/>
    <xf numFmtId="0" fontId="44" fillId="0" borderId="0" applyProtection="0"/>
    <xf numFmtId="0" fontId="46" fillId="0" borderId="0"/>
    <xf numFmtId="9" fontId="2" fillId="0" borderId="0" applyFont="0" applyFill="0" applyBorder="0" applyAlignment="0" applyProtection="0"/>
    <xf numFmtId="0" fontId="8" fillId="0" borderId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35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2" fillId="36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7" borderId="0" applyNumberFormat="0" applyBorder="0" applyAlignment="0" applyProtection="0"/>
    <xf numFmtId="0" fontId="28" fillId="7" borderId="0" applyNumberFormat="0" applyBorder="0" applyAlignment="0" applyProtection="0"/>
    <xf numFmtId="0" fontId="33" fillId="11" borderId="57" applyNumberFormat="0" applyAlignment="0" applyProtection="0"/>
    <xf numFmtId="0" fontId="35" fillId="12" borderId="60" applyNumberFormat="0" applyAlignment="0" applyProtection="0"/>
    <xf numFmtId="0" fontId="34" fillId="0" borderId="59" applyNumberFormat="0" applyFill="0" applyAlignment="0" applyProtection="0"/>
    <xf numFmtId="0" fontId="39" fillId="14" borderId="0" applyNumberFormat="0" applyBorder="0" applyAlignment="0" applyProtection="0"/>
    <xf numFmtId="0" fontId="39" fillId="18" borderId="0" applyNumberFormat="0" applyBorder="0" applyAlignment="0" applyProtection="0"/>
    <xf numFmtId="0" fontId="39" fillId="22" borderId="0" applyNumberFormat="0" applyBorder="0" applyAlignment="0" applyProtection="0"/>
    <xf numFmtId="0" fontId="39" fillId="26" borderId="0" applyNumberFormat="0" applyBorder="0" applyAlignment="0" applyProtection="0"/>
    <xf numFmtId="0" fontId="39" fillId="30" borderId="0" applyNumberFormat="0" applyBorder="0" applyAlignment="0" applyProtection="0"/>
    <xf numFmtId="0" fontId="39" fillId="34" borderId="0" applyNumberFormat="0" applyBorder="0" applyAlignment="0" applyProtection="0"/>
    <xf numFmtId="0" fontId="31" fillId="10" borderId="57" applyNumberFormat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53" fillId="0" borderId="0"/>
    <xf numFmtId="0" fontId="8" fillId="0" borderId="0"/>
    <xf numFmtId="0" fontId="54" fillId="0" borderId="0"/>
    <xf numFmtId="0" fontId="2" fillId="13" borderId="61" applyNumberFormat="0" applyFont="0" applyAlignment="0" applyProtection="0"/>
    <xf numFmtId="172" fontId="55" fillId="0" borderId="0" applyFill="0" applyBorder="0" applyProtection="0">
      <alignment horizontal="right" vertical="center"/>
    </xf>
    <xf numFmtId="9" fontId="56" fillId="0" borderId="0" applyFont="0" applyFill="0" applyBorder="0" applyAlignment="0" applyProtection="0"/>
    <xf numFmtId="0" fontId="32" fillId="11" borderId="58" applyNumberFormat="0" applyAlignment="0" applyProtection="0"/>
    <xf numFmtId="0" fontId="57" fillId="0" borderId="0" applyNumberFormat="0" applyFont="0" applyFill="0" applyBorder="0" applyProtection="0">
      <alignment vertical="center"/>
    </xf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5" fillId="0" borderId="54" applyNumberFormat="0" applyFill="0" applyAlignment="0" applyProtection="0"/>
    <xf numFmtId="0" fontId="26" fillId="0" borderId="55" applyNumberFormat="0" applyFill="0" applyAlignment="0" applyProtection="0"/>
    <xf numFmtId="0" fontId="27" fillId="0" borderId="56" applyNumberFormat="0" applyFill="0" applyAlignment="0" applyProtection="0"/>
    <xf numFmtId="0" fontId="27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8" fillId="0" borderId="62" applyNumberFormat="0" applyFill="0" applyAlignment="0" applyProtection="0"/>
    <xf numFmtId="170" fontId="8" fillId="0" borderId="0" applyFont="0" applyFill="0" applyBorder="0" applyAlignment="0" applyProtection="0"/>
    <xf numFmtId="170" fontId="44" fillId="0" borderId="0" applyFont="0" applyFill="0" applyBorder="0" applyAlignment="0" applyProtection="0">
      <alignment vertical="top"/>
    </xf>
    <xf numFmtId="170" fontId="8" fillId="0" borderId="0" applyFont="0" applyFill="0" applyBorder="0" applyAlignment="0" applyProtection="0"/>
    <xf numFmtId="43" fontId="56" fillId="0" borderId="0" applyFont="0" applyFill="0" applyBorder="0" applyAlignment="0" applyProtection="0"/>
    <xf numFmtId="170" fontId="46" fillId="0" borderId="0" applyFont="0" applyFill="0" applyBorder="0" applyAlignment="0" applyProtection="0"/>
    <xf numFmtId="0" fontId="1" fillId="0" borderId="0"/>
  </cellStyleXfs>
  <cellXfs count="503">
    <xf numFmtId="0" fontId="0" fillId="0" borderId="0" xfId="0"/>
    <xf numFmtId="0" fontId="13" fillId="0" borderId="0" xfId="11"/>
    <xf numFmtId="10" fontId="0" fillId="0" borderId="0" xfId="12" applyNumberFormat="1" applyFont="1" applyBorder="1"/>
    <xf numFmtId="0" fontId="13" fillId="0" borderId="0" xfId="11" applyAlignment="1">
      <alignment vertical="center"/>
    </xf>
    <xf numFmtId="0" fontId="15" fillId="0" borderId="0" xfId="11" applyFont="1" applyAlignment="1">
      <alignment vertical="center"/>
    </xf>
    <xf numFmtId="10" fontId="12" fillId="4" borderId="0" xfId="11" applyNumberFormat="1" applyFont="1" applyFill="1" applyAlignment="1">
      <alignment vertical="center"/>
    </xf>
    <xf numFmtId="0" fontId="12" fillId="0" borderId="0" xfId="11" applyFont="1"/>
    <xf numFmtId="0" fontId="12" fillId="0" borderId="0" xfId="11" applyFont="1" applyAlignment="1">
      <alignment vertical="center"/>
    </xf>
    <xf numFmtId="10" fontId="13" fillId="0" borderId="0" xfId="11" applyNumberFormat="1" applyAlignment="1">
      <alignment vertical="center"/>
    </xf>
    <xf numFmtId="10" fontId="0" fillId="0" borderId="0" xfId="12" applyNumberFormat="1" applyFont="1" applyBorder="1" applyAlignment="1">
      <alignment vertical="center"/>
    </xf>
    <xf numFmtId="10" fontId="12" fillId="0" borderId="0" xfId="11" applyNumberFormat="1" applyFont="1" applyAlignment="1">
      <alignment vertical="center"/>
    </xf>
    <xf numFmtId="44" fontId="13" fillId="3" borderId="1" xfId="11" applyNumberFormat="1" applyFill="1" applyBorder="1" applyAlignment="1">
      <alignment horizontal="center" vertical="center"/>
    </xf>
    <xf numFmtId="10" fontId="0" fillId="3" borderId="1" xfId="12" applyNumberFormat="1" applyFont="1" applyFill="1" applyBorder="1" applyAlignment="1">
      <alignment horizontal="center" vertical="center"/>
    </xf>
    <xf numFmtId="0" fontId="13" fillId="0" borderId="0" xfId="0" applyFont="1"/>
    <xf numFmtId="168" fontId="13" fillId="0" borderId="1" xfId="12" applyNumberFormat="1" applyFill="1" applyBorder="1" applyAlignment="1">
      <alignment horizontal="center" vertical="center"/>
    </xf>
    <xf numFmtId="168" fontId="13" fillId="0" borderId="6" xfId="12" applyNumberFormat="1" applyFill="1" applyBorder="1" applyAlignment="1">
      <alignment horizontal="center" vertical="center"/>
    </xf>
    <xf numFmtId="10" fontId="13" fillId="3" borderId="9" xfId="11" applyNumberFormat="1" applyFill="1" applyBorder="1" applyAlignment="1">
      <alignment horizontal="center" vertical="center"/>
    </xf>
    <xf numFmtId="0" fontId="12" fillId="5" borderId="11" xfId="11" applyFont="1" applyFill="1" applyBorder="1" applyAlignment="1">
      <alignment horizontal="center" vertical="center"/>
    </xf>
    <xf numFmtId="0" fontId="12" fillId="5" borderId="13" xfId="11" applyFont="1" applyFill="1" applyBorder="1" applyAlignment="1">
      <alignment vertical="center"/>
    </xf>
    <xf numFmtId="0" fontId="8" fillId="2" borderId="37" xfId="11" applyFont="1" applyFill="1" applyBorder="1" applyAlignment="1">
      <alignment horizontal="center" vertical="center"/>
    </xf>
    <xf numFmtId="0" fontId="8" fillId="2" borderId="31" xfId="11" applyFont="1" applyFill="1" applyBorder="1" applyAlignment="1">
      <alignment vertical="center"/>
    </xf>
    <xf numFmtId="10" fontId="8" fillId="2" borderId="37" xfId="12" applyNumberFormat="1" applyFont="1" applyFill="1" applyBorder="1" applyAlignment="1">
      <alignment horizontal="center" vertical="center"/>
    </xf>
    <xf numFmtId="0" fontId="8" fillId="2" borderId="4" xfId="11" applyFont="1" applyFill="1" applyBorder="1" applyAlignment="1">
      <alignment horizontal="center" vertical="center"/>
    </xf>
    <xf numFmtId="0" fontId="8" fillId="2" borderId="25" xfId="11" applyFont="1" applyFill="1" applyBorder="1" applyAlignment="1">
      <alignment vertical="center"/>
    </xf>
    <xf numFmtId="10" fontId="8" fillId="2" borderId="4" xfId="12" applyNumberFormat="1" applyFont="1" applyFill="1" applyBorder="1" applyAlignment="1">
      <alignment horizontal="center" vertical="center"/>
    </xf>
    <xf numFmtId="0" fontId="8" fillId="2" borderId="36" xfId="11" applyFont="1" applyFill="1" applyBorder="1" applyAlignment="1">
      <alignment horizontal="center" vertical="center"/>
    </xf>
    <xf numFmtId="0" fontId="8" fillId="2" borderId="34" xfId="11" applyFont="1" applyFill="1" applyBorder="1" applyAlignment="1">
      <alignment vertical="center"/>
    </xf>
    <xf numFmtId="0" fontId="8" fillId="2" borderId="15" xfId="11" applyFont="1" applyFill="1" applyBorder="1" applyAlignment="1">
      <alignment horizontal="center" vertical="center"/>
    </xf>
    <xf numFmtId="0" fontId="8" fillId="2" borderId="24" xfId="11" applyFont="1" applyFill="1" applyBorder="1" applyAlignment="1">
      <alignment vertical="center"/>
    </xf>
    <xf numFmtId="10" fontId="8" fillId="2" borderId="15" xfId="12" applyNumberFormat="1" applyFont="1" applyFill="1" applyBorder="1" applyAlignment="1">
      <alignment horizontal="center" vertical="center"/>
    </xf>
    <xf numFmtId="0" fontId="8" fillId="2" borderId="7" xfId="11" applyFont="1" applyFill="1" applyBorder="1" applyAlignment="1">
      <alignment vertical="center"/>
    </xf>
    <xf numFmtId="0" fontId="8" fillId="2" borderId="8" xfId="11" applyFont="1" applyFill="1" applyBorder="1" applyAlignment="1">
      <alignment vertical="center"/>
    </xf>
    <xf numFmtId="0" fontId="8" fillId="2" borderId="13" xfId="11" applyFont="1" applyFill="1" applyBorder="1" applyAlignment="1">
      <alignment vertical="center"/>
    </xf>
    <xf numFmtId="0" fontId="8" fillId="2" borderId="17" xfId="11" applyFont="1" applyFill="1" applyBorder="1" applyAlignment="1">
      <alignment vertical="center"/>
    </xf>
    <xf numFmtId="0" fontId="8" fillId="2" borderId="17" xfId="11" applyFont="1" applyFill="1" applyBorder="1" applyAlignment="1">
      <alignment horizontal="center" vertical="center"/>
    </xf>
    <xf numFmtId="0" fontId="8" fillId="2" borderId="14" xfId="11" applyFont="1" applyFill="1" applyBorder="1" applyAlignment="1">
      <alignment horizontal="center" vertical="center"/>
    </xf>
    <xf numFmtId="10" fontId="8" fillId="5" borderId="11" xfId="12" applyNumberFormat="1" applyFont="1" applyFill="1" applyBorder="1" applyAlignment="1">
      <alignment horizontal="center" vertical="center"/>
    </xf>
    <xf numFmtId="0" fontId="12" fillId="2" borderId="40" xfId="11" applyFont="1" applyFill="1" applyBorder="1"/>
    <xf numFmtId="0" fontId="8" fillId="2" borderId="12" xfId="11" applyFont="1" applyFill="1" applyBorder="1"/>
    <xf numFmtId="0" fontId="8" fillId="2" borderId="41" xfId="11" applyFont="1" applyFill="1" applyBorder="1"/>
    <xf numFmtId="0" fontId="8" fillId="2" borderId="42" xfId="11" applyFont="1" applyFill="1" applyBorder="1"/>
    <xf numFmtId="0" fontId="8" fillId="2" borderId="0" xfId="11" applyFont="1" applyFill="1"/>
    <xf numFmtId="0" fontId="8" fillId="2" borderId="43" xfId="11" applyFont="1" applyFill="1" applyBorder="1"/>
    <xf numFmtId="0" fontId="8" fillId="2" borderId="7" xfId="11" applyFont="1" applyFill="1" applyBorder="1"/>
    <xf numFmtId="0" fontId="8" fillId="2" borderId="8" xfId="11" applyFont="1" applyFill="1" applyBorder="1"/>
    <xf numFmtId="0" fontId="8" fillId="2" borderId="16" xfId="11" applyFont="1" applyFill="1" applyBorder="1"/>
    <xf numFmtId="10" fontId="12" fillId="5" borderId="14" xfId="11" applyNumberFormat="1" applyFont="1" applyFill="1" applyBorder="1" applyAlignment="1">
      <alignment horizontal="center" vertical="center"/>
    </xf>
    <xf numFmtId="10" fontId="12" fillId="2" borderId="38" xfId="11" applyNumberFormat="1" applyFont="1" applyFill="1" applyBorder="1" applyAlignment="1">
      <alignment horizontal="center" vertical="center"/>
    </xf>
    <xf numFmtId="10" fontId="12" fillId="2" borderId="26" xfId="11" applyNumberFormat="1" applyFont="1" applyFill="1" applyBorder="1" applyAlignment="1">
      <alignment horizontal="center" vertical="center"/>
    </xf>
    <xf numFmtId="10" fontId="12" fillId="2" borderId="27" xfId="11" applyNumberFormat="1" applyFont="1" applyFill="1" applyBorder="1" applyAlignment="1">
      <alignment horizontal="center" vertical="center"/>
    </xf>
    <xf numFmtId="0" fontId="8" fillId="2" borderId="8" xfId="11" applyFont="1" applyFill="1" applyBorder="1" applyAlignment="1">
      <alignment horizontal="center" vertical="center"/>
    </xf>
    <xf numFmtId="0" fontId="8" fillId="2" borderId="16" xfId="11" applyFont="1" applyFill="1" applyBorder="1" applyAlignment="1">
      <alignment horizontal="center" vertical="center"/>
    </xf>
    <xf numFmtId="10" fontId="12" fillId="5" borderId="11" xfId="11" applyNumberFormat="1" applyFont="1" applyFill="1" applyBorder="1" applyAlignment="1">
      <alignment horizontal="center" vertical="center"/>
    </xf>
    <xf numFmtId="10" fontId="12" fillId="2" borderId="37" xfId="11" applyNumberFormat="1" applyFont="1" applyFill="1" applyBorder="1" applyAlignment="1">
      <alignment horizontal="center" vertical="center"/>
    </xf>
    <xf numFmtId="10" fontId="12" fillId="2" borderId="4" xfId="11" applyNumberFormat="1" applyFont="1" applyFill="1" applyBorder="1" applyAlignment="1">
      <alignment horizontal="center" vertical="center"/>
    </xf>
    <xf numFmtId="10" fontId="12" fillId="2" borderId="15" xfId="11" applyNumberFormat="1" applyFont="1" applyFill="1" applyBorder="1" applyAlignment="1">
      <alignment horizontal="center" vertical="center"/>
    </xf>
    <xf numFmtId="0" fontId="12" fillId="2" borderId="40" xfId="11" applyFont="1" applyFill="1" applyBorder="1" applyAlignment="1">
      <alignment vertical="center"/>
    </xf>
    <xf numFmtId="0" fontId="12" fillId="2" borderId="12" xfId="11" applyFont="1" applyFill="1" applyBorder="1" applyAlignment="1">
      <alignment vertical="center"/>
    </xf>
    <xf numFmtId="0" fontId="12" fillId="2" borderId="41" xfId="11" applyFont="1" applyFill="1" applyBorder="1" applyAlignment="1">
      <alignment vertical="center"/>
    </xf>
    <xf numFmtId="0" fontId="12" fillId="2" borderId="42" xfId="11" applyFont="1" applyFill="1" applyBorder="1" applyAlignment="1">
      <alignment horizontal="center" vertical="center"/>
    </xf>
    <xf numFmtId="0" fontId="12" fillId="2" borderId="0" xfId="11" applyFont="1" applyFill="1" applyAlignment="1">
      <alignment horizontal="center" vertical="center"/>
    </xf>
    <xf numFmtId="0" fontId="12" fillId="2" borderId="43" xfId="11" applyFont="1" applyFill="1" applyBorder="1" applyAlignment="1">
      <alignment horizontal="center" vertical="center"/>
    </xf>
    <xf numFmtId="0" fontId="8" fillId="2" borderId="42" xfId="11" applyFont="1" applyFill="1" applyBorder="1" applyAlignment="1">
      <alignment vertical="center"/>
    </xf>
    <xf numFmtId="0" fontId="8" fillId="2" borderId="43" xfId="11" applyFont="1" applyFill="1" applyBorder="1" applyAlignment="1">
      <alignment vertical="center"/>
    </xf>
    <xf numFmtId="0" fontId="12" fillId="2" borderId="42" xfId="11" applyFont="1" applyFill="1" applyBorder="1" applyAlignment="1">
      <alignment vertical="center"/>
    </xf>
    <xf numFmtId="0" fontId="12" fillId="2" borderId="43" xfId="11" applyFont="1" applyFill="1" applyBorder="1" applyAlignment="1">
      <alignment vertical="center"/>
    </xf>
    <xf numFmtId="0" fontId="18" fillId="2" borderId="42" xfId="11" applyFont="1" applyFill="1" applyBorder="1" applyAlignment="1">
      <alignment vertical="center"/>
    </xf>
    <xf numFmtId="0" fontId="18" fillId="2" borderId="42" xfId="11" applyFont="1" applyFill="1" applyBorder="1" applyAlignment="1">
      <alignment horizontal="center"/>
    </xf>
    <xf numFmtId="0" fontId="18" fillId="2" borderId="0" xfId="11" applyFont="1" applyFill="1" applyAlignment="1">
      <alignment horizontal="center" vertical="center"/>
    </xf>
    <xf numFmtId="0" fontId="12" fillId="2" borderId="42" xfId="11" applyFont="1" applyFill="1" applyBorder="1"/>
    <xf numFmtId="0" fontId="12" fillId="2" borderId="43" xfId="11" applyFont="1" applyFill="1" applyBorder="1"/>
    <xf numFmtId="168" fontId="13" fillId="0" borderId="28" xfId="12" applyNumberFormat="1" applyFill="1" applyBorder="1" applyAlignment="1">
      <alignment horizontal="center" vertical="center"/>
    </xf>
    <xf numFmtId="44" fontId="13" fillId="3" borderId="28" xfId="17" applyFill="1" applyBorder="1" applyAlignment="1">
      <alignment horizontal="center" vertical="center"/>
    </xf>
    <xf numFmtId="0" fontId="13" fillId="0" borderId="1" xfId="11" applyBorder="1"/>
    <xf numFmtId="44" fontId="13" fillId="3" borderId="6" xfId="11" applyNumberFormat="1" applyFill="1" applyBorder="1" applyAlignment="1">
      <alignment horizontal="center" vertical="center"/>
    </xf>
    <xf numFmtId="168" fontId="13" fillId="3" borderId="10" xfId="11" applyNumberFormat="1" applyFill="1" applyBorder="1" applyAlignment="1">
      <alignment horizontal="center" vertical="center"/>
    </xf>
    <xf numFmtId="168" fontId="13" fillId="0" borderId="3" xfId="12" applyNumberFormat="1" applyFill="1" applyBorder="1" applyAlignment="1">
      <alignment horizontal="center" vertical="center"/>
    </xf>
    <xf numFmtId="10" fontId="0" fillId="3" borderId="6" xfId="12" applyNumberFormat="1" applyFont="1" applyFill="1" applyBorder="1" applyAlignment="1">
      <alignment horizontal="center" vertical="center"/>
    </xf>
    <xf numFmtId="168" fontId="13" fillId="0" borderId="2" xfId="12" applyNumberFormat="1" applyFill="1" applyBorder="1" applyAlignment="1">
      <alignment horizontal="center" vertical="center"/>
    </xf>
    <xf numFmtId="168" fontId="13" fillId="0" borderId="47" xfId="12" applyNumberFormat="1" applyFill="1" applyBorder="1" applyAlignment="1">
      <alignment horizontal="center" vertical="center"/>
    </xf>
    <xf numFmtId="44" fontId="13" fillId="3" borderId="19" xfId="11" applyNumberFormat="1" applyFill="1" applyBorder="1" applyAlignment="1">
      <alignment horizontal="center" vertical="center"/>
    </xf>
    <xf numFmtId="44" fontId="13" fillId="3" borderId="18" xfId="11" applyNumberFormat="1" applyFill="1" applyBorder="1" applyAlignment="1">
      <alignment horizontal="center" vertical="center"/>
    </xf>
    <xf numFmtId="44" fontId="13" fillId="3" borderId="29" xfId="11" applyNumberFormat="1" applyFill="1" applyBorder="1" applyAlignment="1">
      <alignment horizontal="center" vertical="center"/>
    </xf>
    <xf numFmtId="44" fontId="13" fillId="3" borderId="28" xfId="11" applyNumberFormat="1" applyFill="1" applyBorder="1" applyAlignment="1">
      <alignment horizontal="center" vertical="center"/>
    </xf>
    <xf numFmtId="10" fontId="0" fillId="3" borderId="28" xfId="12" applyNumberFormat="1" applyFont="1" applyFill="1" applyBorder="1" applyAlignment="1">
      <alignment horizontal="center" vertical="center"/>
    </xf>
    <xf numFmtId="10" fontId="13" fillId="3" borderId="23" xfId="11" applyNumberFormat="1" applyFill="1" applyBorder="1" applyAlignment="1">
      <alignment horizontal="center" vertical="center"/>
    </xf>
    <xf numFmtId="168" fontId="13" fillId="0" borderId="33" xfId="12" applyNumberFormat="1" applyFill="1" applyBorder="1" applyAlignment="1">
      <alignment horizontal="center" vertical="center"/>
    </xf>
    <xf numFmtId="44" fontId="12" fillId="0" borderId="10" xfId="17" applyFont="1" applyFill="1" applyBorder="1" applyAlignment="1">
      <alignment horizontal="center" vertical="center" wrapText="1"/>
    </xf>
    <xf numFmtId="168" fontId="13" fillId="0" borderId="30" xfId="12" applyNumberFormat="1" applyFill="1" applyBorder="1" applyAlignment="1">
      <alignment horizontal="center" vertical="center"/>
    </xf>
    <xf numFmtId="168" fontId="13" fillId="0" borderId="22" xfId="12" applyNumberFormat="1" applyFill="1" applyBorder="1" applyAlignment="1">
      <alignment horizontal="center" vertical="center"/>
    </xf>
    <xf numFmtId="0" fontId="12" fillId="3" borderId="48" xfId="11" applyFont="1" applyFill="1" applyBorder="1" applyAlignment="1">
      <alignment horizontal="center"/>
    </xf>
    <xf numFmtId="0" fontId="12" fillId="3" borderId="49" xfId="11" applyFont="1" applyFill="1" applyBorder="1" applyAlignment="1">
      <alignment horizontal="center"/>
    </xf>
    <xf numFmtId="0" fontId="12" fillId="3" borderId="50" xfId="11" applyFont="1" applyFill="1" applyBorder="1" applyAlignment="1">
      <alignment horizontal="center"/>
    </xf>
    <xf numFmtId="0" fontId="12" fillId="3" borderId="51" xfId="11" applyFont="1" applyFill="1" applyBorder="1" applyAlignment="1">
      <alignment horizontal="center"/>
    </xf>
    <xf numFmtId="168" fontId="13" fillId="0" borderId="0" xfId="12" applyNumberFormat="1" applyFill="1" applyBorder="1" applyAlignment="1">
      <alignment horizontal="center" vertical="center"/>
    </xf>
    <xf numFmtId="43" fontId="13" fillId="0" borderId="0" xfId="25" applyFont="1" applyFill="1" applyBorder="1" applyAlignment="1">
      <alignment horizontal="center" vertical="center"/>
    </xf>
    <xf numFmtId="10" fontId="13" fillId="0" borderId="0" xfId="11" applyNumberFormat="1" applyAlignment="1">
      <alignment horizontal="center" vertical="center"/>
    </xf>
    <xf numFmtId="44" fontId="13" fillId="0" borderId="0" xfId="17" applyFill="1" applyBorder="1" applyAlignment="1">
      <alignment horizontal="center" vertical="center"/>
    </xf>
    <xf numFmtId="44" fontId="13" fillId="0" borderId="0" xfId="11" applyNumberFormat="1" applyAlignment="1">
      <alignment horizontal="center" vertical="center"/>
    </xf>
    <xf numFmtId="10" fontId="0" fillId="0" borderId="0" xfId="12" applyNumberFormat="1" applyFont="1" applyFill="1" applyBorder="1" applyAlignment="1">
      <alignment horizontal="center" vertical="center"/>
    </xf>
    <xf numFmtId="44" fontId="13" fillId="3" borderId="26" xfId="17" applyFill="1" applyBorder="1" applyAlignment="1">
      <alignment horizontal="center" vertical="center"/>
    </xf>
    <xf numFmtId="0" fontId="40" fillId="0" borderId="0" xfId="27" applyFont="1"/>
    <xf numFmtId="0" fontId="40" fillId="0" borderId="0" xfId="27" applyFont="1" applyAlignment="1">
      <alignment horizontal="center"/>
    </xf>
    <xf numFmtId="0" fontId="8" fillId="0" borderId="0" xfId="30" applyFont="1"/>
    <xf numFmtId="0" fontId="2" fillId="0" borderId="0" xfId="27"/>
    <xf numFmtId="0" fontId="45" fillId="0" borderId="44" xfId="29" applyFont="1" applyBorder="1" applyAlignment="1">
      <alignment shrinkToFit="1"/>
    </xf>
    <xf numFmtId="0" fontId="45" fillId="0" borderId="44" xfId="29" applyFont="1" applyBorder="1" applyAlignment="1">
      <alignment horizontal="center" shrinkToFit="1"/>
    </xf>
    <xf numFmtId="0" fontId="16" fillId="0" borderId="0" xfId="29" applyFont="1"/>
    <xf numFmtId="4" fontId="16" fillId="0" borderId="0" xfId="29" applyNumberFormat="1" applyFont="1"/>
    <xf numFmtId="4" fontId="15" fillId="39" borderId="1" xfId="29" applyNumberFormat="1" applyFont="1" applyFill="1" applyBorder="1" applyAlignment="1" applyProtection="1">
      <alignment horizontal="center" vertical="center" wrapText="1"/>
      <protection locked="0"/>
    </xf>
    <xf numFmtId="170" fontId="16" fillId="0" borderId="0" xfId="29" applyNumberFormat="1" applyFont="1"/>
    <xf numFmtId="10" fontId="15" fillId="0" borderId="1" xfId="29" applyNumberFormat="1" applyFont="1" applyBorder="1" applyAlignment="1">
      <alignment horizontal="center" vertical="center"/>
    </xf>
    <xf numFmtId="0" fontId="47" fillId="0" borderId="0" xfId="29" applyFont="1"/>
    <xf numFmtId="1" fontId="16" fillId="0" borderId="0" xfId="30" applyNumberFormat="1" applyFont="1" applyAlignment="1">
      <alignment vertical="top"/>
    </xf>
    <xf numFmtId="39" fontId="47" fillId="0" borderId="0" xfId="29" applyNumberFormat="1" applyFont="1" applyAlignment="1">
      <alignment horizontal="center"/>
    </xf>
    <xf numFmtId="0" fontId="40" fillId="0" borderId="0" xfId="27" applyFont="1" applyAlignment="1">
      <alignment horizontal="left"/>
    </xf>
    <xf numFmtId="4" fontId="47" fillId="0" borderId="0" xfId="29" applyNumberFormat="1" applyFont="1"/>
    <xf numFmtId="4" fontId="47" fillId="0" borderId="0" xfId="29" applyNumberFormat="1" applyFont="1" applyAlignment="1">
      <alignment horizontal="center"/>
    </xf>
    <xf numFmtId="0" fontId="50" fillId="0" borderId="0" xfId="27" applyFont="1"/>
    <xf numFmtId="0" fontId="16" fillId="0" borderId="31" xfId="27" applyFont="1" applyBorder="1" applyAlignment="1">
      <alignment vertical="center"/>
    </xf>
    <xf numFmtId="0" fontId="52" fillId="0" borderId="0" xfId="27" applyFont="1"/>
    <xf numFmtId="0" fontId="43" fillId="0" borderId="1" xfId="27" applyFont="1" applyBorder="1" applyAlignment="1">
      <alignment horizontal="center" vertical="center" wrapText="1"/>
    </xf>
    <xf numFmtId="171" fontId="51" fillId="0" borderId="1" xfId="27" applyNumberFormat="1" applyFont="1" applyBorder="1" applyAlignment="1">
      <alignment horizontal="center" vertical="center" wrapText="1"/>
    </xf>
    <xf numFmtId="0" fontId="52" fillId="2" borderId="1" xfId="27" applyFont="1" applyFill="1" applyBorder="1" applyAlignment="1">
      <alignment horizontal="center" vertical="center" wrapText="1"/>
    </xf>
    <xf numFmtId="0" fontId="52" fillId="0" borderId="0" xfId="27" applyFont="1" applyAlignment="1">
      <alignment horizontal="center"/>
    </xf>
    <xf numFmtId="0" fontId="40" fillId="0" borderId="35" xfId="27" applyFont="1" applyBorder="1" applyAlignment="1">
      <alignment horizontal="center" wrapText="1"/>
    </xf>
    <xf numFmtId="0" fontId="42" fillId="0" borderId="32" xfId="27" applyFont="1" applyBorder="1" applyAlignment="1">
      <alignment horizontal="center" wrapText="1"/>
    </xf>
    <xf numFmtId="10" fontId="40" fillId="0" borderId="1" xfId="26" applyNumberFormat="1" applyFont="1" applyBorder="1" applyAlignment="1">
      <alignment horizontal="center" vertical="center" wrapText="1"/>
    </xf>
    <xf numFmtId="0" fontId="42" fillId="3" borderId="1" xfId="27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42" fillId="0" borderId="53" xfId="27" applyFont="1" applyBorder="1" applyAlignment="1">
      <alignment horizontal="center" wrapText="1"/>
    </xf>
    <xf numFmtId="0" fontId="40" fillId="0" borderId="0" xfId="27" applyFont="1" applyBorder="1"/>
    <xf numFmtId="0" fontId="42" fillId="0" borderId="0" xfId="27" applyFont="1" applyBorder="1" applyAlignment="1">
      <alignment horizontal="center" vertical="center" wrapText="1"/>
    </xf>
    <xf numFmtId="0" fontId="42" fillId="0" borderId="31" xfId="27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8" fillId="0" borderId="0" xfId="0" applyFont="1" applyAlignment="1">
      <alignment vertical="center"/>
    </xf>
    <xf numFmtId="0" fontId="16" fillId="2" borderId="1" xfId="0" applyFont="1" applyFill="1" applyBorder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4" fontId="52" fillId="0" borderId="1" xfId="1" applyNumberFormat="1" applyFont="1" applyBorder="1" applyAlignment="1">
      <alignment vertical="center" wrapText="1"/>
    </xf>
    <xf numFmtId="4" fontId="16" fillId="0" borderId="1" xfId="1" applyNumberFormat="1" applyFont="1" applyBorder="1" applyAlignment="1">
      <alignment vertical="center"/>
    </xf>
    <xf numFmtId="4" fontId="16" fillId="0" borderId="0" xfId="1" applyNumberFormat="1" applyFont="1" applyAlignment="1">
      <alignment vertical="center"/>
    </xf>
    <xf numFmtId="0" fontId="16" fillId="2" borderId="0" xfId="0" applyFont="1" applyFill="1" applyAlignment="1">
      <alignment vertical="center" wrapText="1"/>
    </xf>
    <xf numFmtId="0" fontId="16" fillId="0" borderId="0" xfId="0" applyFont="1" applyAlignment="1">
      <alignment vertical="center" wrapText="1"/>
    </xf>
    <xf numFmtId="164" fontId="16" fillId="0" borderId="0" xfId="1" applyFont="1" applyBorder="1" applyAlignment="1" applyProtection="1">
      <alignment vertical="center" wrapText="1"/>
    </xf>
    <xf numFmtId="4" fontId="16" fillId="0" borderId="0" xfId="1" applyNumberFormat="1" applyFont="1" applyBorder="1" applyAlignment="1" applyProtection="1">
      <alignment vertical="center" wrapText="1"/>
    </xf>
    <xf numFmtId="4" fontId="16" fillId="0" borderId="0" xfId="0" applyNumberFormat="1" applyFont="1" applyAlignment="1">
      <alignment vertical="center"/>
    </xf>
    <xf numFmtId="4" fontId="16" fillId="0" borderId="0" xfId="1" applyNumberFormat="1" applyFont="1" applyAlignment="1"/>
    <xf numFmtId="0" fontId="9" fillId="0" borderId="0" xfId="0" applyFont="1" applyAlignment="1">
      <alignment vertical="center" wrapText="1"/>
    </xf>
    <xf numFmtId="0" fontId="43" fillId="6" borderId="1" xfId="0" applyFont="1" applyFill="1" applyBorder="1" applyAlignment="1">
      <alignment horizontal="center" vertical="center"/>
    </xf>
    <xf numFmtId="0" fontId="51" fillId="3" borderId="1" xfId="27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11" fillId="0" borderId="53" xfId="27" applyFont="1" applyBorder="1" applyAlignment="1">
      <alignment horizontal="center" vertical="top"/>
    </xf>
    <xf numFmtId="0" fontId="16" fillId="0" borderId="32" xfId="27" applyFont="1" applyBorder="1" applyAlignment="1">
      <alignment horizontal="center" vertical="center"/>
    </xf>
    <xf numFmtId="0" fontId="51" fillId="3" borderId="1" xfId="27" applyFont="1" applyFill="1" applyBorder="1" applyAlignment="1">
      <alignment vertical="center"/>
    </xf>
    <xf numFmtId="0" fontId="51" fillId="3" borderId="1" xfId="27" applyFont="1" applyFill="1" applyBorder="1" applyAlignment="1">
      <alignment vertical="center" wrapText="1"/>
    </xf>
    <xf numFmtId="171" fontId="52" fillId="0" borderId="1" xfId="27" applyNumberFormat="1" applyFont="1" applyBorder="1" applyAlignment="1">
      <alignment horizontal="center" vertical="center"/>
    </xf>
    <xf numFmtId="0" fontId="52" fillId="0" borderId="53" xfId="27" applyFont="1" applyBorder="1" applyAlignment="1">
      <alignment horizontal="center"/>
    </xf>
    <xf numFmtId="0" fontId="52" fillId="0" borderId="0" xfId="27" applyFont="1" applyBorder="1"/>
    <xf numFmtId="0" fontId="52" fillId="0" borderId="44" xfId="27" applyFont="1" applyBorder="1" applyAlignment="1">
      <alignment horizontal="center"/>
    </xf>
    <xf numFmtId="0" fontId="16" fillId="0" borderId="1" xfId="0" applyFont="1" applyFill="1" applyBorder="1" applyAlignment="1">
      <alignment horizontal="left" vertical="center" wrapText="1"/>
    </xf>
    <xf numFmtId="171" fontId="52" fillId="0" borderId="1" xfId="27" applyNumberFormat="1" applyFont="1" applyBorder="1" applyAlignment="1">
      <alignment horizontal="center" vertical="center" wrapText="1"/>
    </xf>
    <xf numFmtId="0" fontId="52" fillId="2" borderId="3" xfId="27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left" vertical="center" wrapText="1"/>
    </xf>
    <xf numFmtId="171" fontId="59" fillId="0" borderId="1" xfId="27" applyNumberFormat="1" applyFont="1" applyBorder="1" applyAlignment="1">
      <alignment horizontal="center" vertical="center" wrapText="1"/>
    </xf>
    <xf numFmtId="171" fontId="43" fillId="0" borderId="1" xfId="27" applyNumberFormat="1" applyFont="1" applyBorder="1" applyAlignment="1">
      <alignment horizontal="center" vertical="center" wrapText="1"/>
    </xf>
    <xf numFmtId="171" fontId="51" fillId="0" borderId="1" xfId="27" applyNumberFormat="1" applyFont="1" applyBorder="1" applyAlignment="1">
      <alignment horizontal="center" vertical="center"/>
    </xf>
    <xf numFmtId="0" fontId="43" fillId="6" borderId="63" xfId="0" applyFont="1" applyFill="1" applyBorder="1" applyAlignment="1">
      <alignment vertical="center"/>
    </xf>
    <xf numFmtId="0" fontId="43" fillId="6" borderId="25" xfId="0" applyFont="1" applyFill="1" applyBorder="1" applyAlignment="1">
      <alignment vertical="center"/>
    </xf>
    <xf numFmtId="0" fontId="43" fillId="6" borderId="28" xfId="0" applyFont="1" applyFill="1" applyBorder="1" applyAlignment="1">
      <alignment vertical="center"/>
    </xf>
    <xf numFmtId="4" fontId="52" fillId="0" borderId="3" xfId="1" applyNumberFormat="1" applyFont="1" applyBorder="1" applyAlignment="1">
      <alignment vertical="center" wrapText="1"/>
    </xf>
    <xf numFmtId="4" fontId="16" fillId="0" borderId="3" xfId="1" applyNumberFormat="1" applyFont="1" applyBorder="1" applyAlignment="1">
      <alignment vertical="center"/>
    </xf>
    <xf numFmtId="0" fontId="58" fillId="0" borderId="1" xfId="0" applyFont="1" applyBorder="1" applyAlignment="1">
      <alignment vertical="center"/>
    </xf>
    <xf numFmtId="0" fontId="43" fillId="0" borderId="1" xfId="27" applyFont="1" applyFill="1" applyBorder="1" applyAlignment="1">
      <alignment horizontal="center" vertical="center" wrapText="1"/>
    </xf>
    <xf numFmtId="0" fontId="52" fillId="0" borderId="1" xfId="27" applyFont="1" applyBorder="1" applyAlignment="1">
      <alignment horizontal="center" vertical="center" wrapText="1"/>
    </xf>
    <xf numFmtId="4" fontId="15" fillId="0" borderId="1" xfId="29" applyNumberFormat="1" applyFont="1" applyBorder="1" applyAlignment="1" applyProtection="1">
      <alignment horizontal="center" vertical="center" wrapText="1" shrinkToFit="1"/>
      <protection locked="0"/>
    </xf>
    <xf numFmtId="0" fontId="14" fillId="0" borderId="1" xfId="0" applyFont="1" applyBorder="1" applyAlignment="1">
      <alignment horizontal="center" vertical="center"/>
    </xf>
    <xf numFmtId="0" fontId="16" fillId="0" borderId="28" xfId="0" applyFont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10" fontId="40" fillId="0" borderId="2" xfId="26" applyNumberFormat="1" applyFont="1" applyBorder="1" applyAlignment="1">
      <alignment horizontal="center" vertical="center" wrapText="1"/>
    </xf>
    <xf numFmtId="4" fontId="42" fillId="3" borderId="1" xfId="27" applyNumberFormat="1" applyFont="1" applyFill="1" applyBorder="1" applyAlignment="1">
      <alignment horizontal="center" vertical="center" wrapText="1"/>
    </xf>
    <xf numFmtId="4" fontId="51" fillId="0" borderId="1" xfId="0" applyNumberFormat="1" applyFont="1" applyFill="1" applyBorder="1" applyAlignment="1">
      <alignment vertical="center"/>
    </xf>
    <xf numFmtId="0" fontId="16" fillId="0" borderId="28" xfId="0" applyFont="1" applyFill="1" applyBorder="1" applyAlignment="1">
      <alignment horizontal="left" vertical="center" wrapText="1"/>
    </xf>
    <xf numFmtId="4" fontId="42" fillId="3" borderId="33" xfId="27" applyNumberFormat="1" applyFont="1" applyFill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14" fontId="16" fillId="0" borderId="32" xfId="0" applyNumberFormat="1" applyFont="1" applyFill="1" applyBorder="1" applyAlignment="1">
      <alignment horizontal="center" vertical="center" wrapText="1"/>
    </xf>
    <xf numFmtId="4" fontId="43" fillId="0" borderId="1" xfId="0" applyNumberFormat="1" applyFont="1" applyFill="1" applyBorder="1" applyAlignment="1">
      <alignment vertical="center" wrapText="1"/>
    </xf>
    <xf numFmtId="0" fontId="14" fillId="0" borderId="0" xfId="0" applyFont="1"/>
    <xf numFmtId="0" fontId="60" fillId="3" borderId="1" xfId="0" applyFont="1" applyFill="1" applyBorder="1" applyAlignment="1">
      <alignment horizontal="center"/>
    </xf>
    <xf numFmtId="4" fontId="0" fillId="0" borderId="0" xfId="0" applyNumberFormat="1"/>
    <xf numFmtId="0" fontId="40" fillId="0" borderId="0" xfId="0" applyFont="1" applyAlignment="1">
      <alignment horizontal="center"/>
    </xf>
    <xf numFmtId="0" fontId="40" fillId="0" borderId="0" xfId="0" applyFont="1"/>
    <xf numFmtId="0" fontId="48" fillId="38" borderId="1" xfId="29" applyFont="1" applyFill="1" applyBorder="1" applyAlignment="1" applyProtection="1">
      <alignment horizontal="center" vertical="center"/>
      <protection locked="0"/>
    </xf>
    <xf numFmtId="39" fontId="48" fillId="0" borderId="1" xfId="29" applyNumberFormat="1" applyFont="1" applyBorder="1" applyAlignment="1" applyProtection="1">
      <alignment horizontal="center" vertical="center" shrinkToFit="1"/>
      <protection locked="0"/>
    </xf>
    <xf numFmtId="39" fontId="48" fillId="0" borderId="1" xfId="29" applyNumberFormat="1" applyFont="1" applyBorder="1" applyAlignment="1">
      <alignment horizontal="center" vertical="center" shrinkToFit="1"/>
    </xf>
    <xf numFmtId="9" fontId="48" fillId="0" borderId="1" xfId="29" applyNumberFormat="1" applyFont="1" applyBorder="1" applyAlignment="1" applyProtection="1">
      <alignment horizontal="center" vertical="center" shrinkToFit="1"/>
      <protection locked="0"/>
    </xf>
    <xf numFmtId="0" fontId="45" fillId="0" borderId="35" xfId="29" applyFont="1" applyBorder="1" applyAlignment="1">
      <alignment shrinkToFit="1"/>
    </xf>
    <xf numFmtId="0" fontId="45" fillId="0" borderId="33" xfId="29" applyFont="1" applyBorder="1" applyAlignment="1">
      <alignment shrinkToFit="1"/>
    </xf>
    <xf numFmtId="0" fontId="45" fillId="0" borderId="53" xfId="29" applyFont="1" applyBorder="1" applyAlignment="1">
      <alignment shrinkToFit="1"/>
    </xf>
    <xf numFmtId="0" fontId="45" fillId="0" borderId="53" xfId="29" applyFont="1" applyBorder="1" applyAlignment="1">
      <alignment horizontal="center" shrinkToFit="1"/>
    </xf>
    <xf numFmtId="0" fontId="45" fillId="0" borderId="32" xfId="29" applyFont="1" applyBorder="1" applyAlignment="1">
      <alignment horizontal="center" shrinkToFit="1"/>
    </xf>
    <xf numFmtId="0" fontId="45" fillId="0" borderId="30" xfId="29" applyFont="1" applyBorder="1" applyAlignment="1">
      <alignment horizontal="center" shrinkToFit="1"/>
    </xf>
    <xf numFmtId="0" fontId="45" fillId="0" borderId="63" xfId="29" applyFont="1" applyBorder="1" applyAlignment="1">
      <alignment horizontal="center" shrinkToFit="1"/>
    </xf>
    <xf numFmtId="0" fontId="45" fillId="0" borderId="25" xfId="29" applyFont="1" applyBorder="1" applyAlignment="1">
      <alignment horizontal="center" shrinkToFit="1"/>
    </xf>
    <xf numFmtId="0" fontId="45" fillId="0" borderId="25" xfId="29" applyFont="1" applyBorder="1" applyAlignment="1">
      <alignment horizontal="left" shrinkToFit="1"/>
    </xf>
    <xf numFmtId="0" fontId="8" fillId="0" borderId="28" xfId="30" applyFont="1" applyBorder="1"/>
    <xf numFmtId="169" fontId="48" fillId="0" borderId="2" xfId="29" applyNumberFormat="1" applyFont="1" applyBorder="1" applyAlignment="1" applyProtection="1">
      <alignment horizontal="center" vertical="center"/>
      <protection locked="0"/>
    </xf>
    <xf numFmtId="0" fontId="48" fillId="0" borderId="2" xfId="29" applyFont="1" applyBorder="1" applyAlignment="1" applyProtection="1">
      <alignment horizontal="center" vertical="center" wrapText="1" shrinkToFit="1"/>
      <protection locked="0"/>
    </xf>
    <xf numFmtId="1" fontId="48" fillId="0" borderId="2" xfId="29" applyNumberFormat="1" applyFont="1" applyBorder="1" applyAlignment="1" applyProtection="1">
      <alignment horizontal="center" vertical="center" wrapText="1"/>
      <protection locked="0"/>
    </xf>
    <xf numFmtId="4" fontId="15" fillId="0" borderId="1" xfId="29" applyNumberFormat="1" applyFont="1" applyBorder="1" applyAlignment="1" applyProtection="1">
      <alignment horizontal="center" vertical="center" wrapText="1" shrinkToFit="1"/>
      <protection locked="0"/>
    </xf>
    <xf numFmtId="0" fontId="16" fillId="40" borderId="1" xfId="0" applyFont="1" applyFill="1" applyBorder="1" applyAlignment="1">
      <alignment horizontal="left" vertical="center" wrapText="1"/>
    </xf>
    <xf numFmtId="0" fontId="16" fillId="0" borderId="1" xfId="85" applyFont="1" applyBorder="1" applyAlignment="1">
      <alignment horizontal="center" vertical="center" wrapText="1"/>
    </xf>
    <xf numFmtId="0" fontId="40" fillId="0" borderId="1" xfId="85" applyFont="1" applyBorder="1" applyAlignment="1">
      <alignment horizontal="center" vertical="center" wrapText="1"/>
    </xf>
    <xf numFmtId="4" fontId="40" fillId="0" borderId="1" xfId="85" applyNumberFormat="1" applyFont="1" applyBorder="1" applyAlignment="1">
      <alignment horizontal="right" vertical="center" wrapText="1"/>
    </xf>
    <xf numFmtId="4" fontId="16" fillId="0" borderId="1" xfId="85" applyNumberFormat="1" applyFont="1" applyBorder="1" applyAlignment="1">
      <alignment horizontal="right" vertical="center" wrapText="1"/>
    </xf>
    <xf numFmtId="0" fontId="16" fillId="2" borderId="0" xfId="0" applyFont="1" applyFill="1" applyAlignment="1">
      <alignment horizontal="center" vertical="center" wrapText="1"/>
    </xf>
    <xf numFmtId="0" fontId="40" fillId="0" borderId="1" xfId="85" applyFont="1" applyFill="1" applyBorder="1" applyAlignment="1">
      <alignment horizontal="left" vertical="center" wrapText="1"/>
    </xf>
    <xf numFmtId="0" fontId="43" fillId="6" borderId="25" xfId="0" applyFont="1" applyFill="1" applyBorder="1" applyAlignment="1">
      <alignment horizontal="right" vertical="center"/>
    </xf>
    <xf numFmtId="4" fontId="16" fillId="0" borderId="0" xfId="1" applyNumberFormat="1" applyFont="1" applyAlignment="1">
      <alignment horizontal="right" vertical="center"/>
    </xf>
    <xf numFmtId="0" fontId="16" fillId="0" borderId="1" xfId="85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4" fontId="16" fillId="0" borderId="1" xfId="1" applyNumberFormat="1" applyFont="1" applyFill="1" applyBorder="1" applyAlignment="1">
      <alignment vertical="center"/>
    </xf>
    <xf numFmtId="0" fontId="16" fillId="0" borderId="1" xfId="85" applyFont="1" applyFill="1" applyBorder="1" applyAlignment="1">
      <alignment horizontal="center" vertical="center" wrapText="1"/>
    </xf>
    <xf numFmtId="4" fontId="43" fillId="0" borderId="3" xfId="0" applyNumberFormat="1" applyFont="1" applyFill="1" applyBorder="1" applyAlignment="1">
      <alignment vertical="center" wrapText="1"/>
    </xf>
    <xf numFmtId="14" fontId="16" fillId="0" borderId="28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0" borderId="63" xfId="0" applyFont="1" applyFill="1" applyBorder="1" applyAlignment="1">
      <alignment horizontal="center" vertical="center" wrapText="1"/>
    </xf>
    <xf numFmtId="4" fontId="52" fillId="0" borderId="1" xfId="1" applyNumberFormat="1" applyFont="1" applyFill="1" applyBorder="1" applyAlignment="1">
      <alignment vertical="center" wrapText="1"/>
    </xf>
    <xf numFmtId="4" fontId="16" fillId="0" borderId="1" xfId="0" applyNumberFormat="1" applyFont="1" applyBorder="1" applyAlignment="1">
      <alignment horizontal="center" vertical="center"/>
    </xf>
    <xf numFmtId="0" fontId="61" fillId="0" borderId="53" xfId="27" applyFont="1" applyBorder="1" applyAlignment="1">
      <alignment horizontal="center" wrapText="1"/>
    </xf>
    <xf numFmtId="0" fontId="62" fillId="0" borderId="0" xfId="27" applyFont="1" applyBorder="1"/>
    <xf numFmtId="0" fontId="47" fillId="0" borderId="0" xfId="0" applyFont="1" applyAlignment="1">
      <alignment vertical="center"/>
    </xf>
    <xf numFmtId="4" fontId="43" fillId="3" borderId="1" xfId="28" applyNumberFormat="1" applyFont="1" applyFill="1" applyBorder="1" applyAlignment="1">
      <alignment horizontal="right" vertical="center" wrapText="1"/>
    </xf>
    <xf numFmtId="0" fontId="51" fillId="0" borderId="1" xfId="0" applyFont="1" applyFill="1" applyBorder="1" applyAlignment="1">
      <alignment horizontal="center" vertical="center"/>
    </xf>
    <xf numFmtId="0" fontId="16" fillId="0" borderId="63" xfId="0" applyNumberFormat="1" applyFont="1" applyBorder="1" applyAlignment="1">
      <alignment horizontal="center" vertical="center" wrapText="1"/>
    </xf>
    <xf numFmtId="0" fontId="51" fillId="3" borderId="1" xfId="0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left" vertical="center" wrapText="1"/>
    </xf>
    <xf numFmtId="0" fontId="40" fillId="0" borderId="64" xfId="0" applyFont="1" applyBorder="1" applyAlignment="1">
      <alignment horizontal="left" vertical="center" wrapText="1"/>
    </xf>
    <xf numFmtId="0" fontId="16" fillId="0" borderId="65" xfId="0" applyFont="1" applyBorder="1" applyAlignment="1">
      <alignment horizontal="left" vertical="center" wrapText="1"/>
    </xf>
    <xf numFmtId="0" fontId="40" fillId="0" borderId="1" xfId="0" applyFont="1" applyBorder="1" applyAlignment="1">
      <alignment horizontal="center" vertical="center" wrapText="1"/>
    </xf>
    <xf numFmtId="0" fontId="16" fillId="0" borderId="3" xfId="0" applyNumberFormat="1" applyFont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4" fontId="16" fillId="0" borderId="28" xfId="0" applyNumberFormat="1" applyFont="1" applyBorder="1" applyAlignment="1">
      <alignment horizontal="center" vertical="center"/>
    </xf>
    <xf numFmtId="4" fontId="16" fillId="0" borderId="3" xfId="0" applyNumberFormat="1" applyFont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center" vertical="center"/>
    </xf>
    <xf numFmtId="4" fontId="42" fillId="3" borderId="2" xfId="27" applyNumberFormat="1" applyFont="1" applyFill="1" applyBorder="1" applyAlignment="1">
      <alignment horizontal="right" vertical="center" wrapText="1"/>
    </xf>
    <xf numFmtId="4" fontId="43" fillId="3" borderId="2" xfId="28" applyNumberFormat="1" applyFont="1" applyFill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0" fontId="43" fillId="6" borderId="25" xfId="0" applyFont="1" applyFill="1" applyBorder="1" applyAlignment="1">
      <alignment horizontal="center" vertical="center"/>
    </xf>
    <xf numFmtId="4" fontId="40" fillId="0" borderId="1" xfId="85" applyNumberFormat="1" applyFont="1" applyBorder="1" applyAlignment="1">
      <alignment horizontal="center" vertical="center" wrapText="1"/>
    </xf>
    <xf numFmtId="4" fontId="16" fillId="0" borderId="1" xfId="85" applyNumberFormat="1" applyFont="1" applyBorder="1" applyAlignment="1">
      <alignment horizontal="center" vertical="center" wrapText="1"/>
    </xf>
    <xf numFmtId="4" fontId="40" fillId="0" borderId="1" xfId="85" applyNumberFormat="1" applyFont="1" applyFill="1" applyBorder="1" applyAlignment="1">
      <alignment horizontal="center" vertical="center" wrapText="1"/>
    </xf>
    <xf numFmtId="4" fontId="48" fillId="3" borderId="1" xfId="1" applyNumberFormat="1" applyFont="1" applyFill="1" applyBorder="1" applyAlignment="1">
      <alignment vertical="center"/>
    </xf>
    <xf numFmtId="0" fontId="9" fillId="0" borderId="28" xfId="0" applyFont="1" applyFill="1" applyBorder="1" applyAlignment="1">
      <alignment wrapText="1"/>
    </xf>
    <xf numFmtId="0" fontId="9" fillId="0" borderId="28" xfId="0" applyFont="1" applyBorder="1" applyAlignment="1">
      <alignment wrapText="1"/>
    </xf>
    <xf numFmtId="4" fontId="16" fillId="0" borderId="1" xfId="0" applyNumberFormat="1" applyFont="1" applyBorder="1" applyAlignment="1">
      <alignment horizontal="center" vertical="center" wrapText="1"/>
    </xf>
    <xf numFmtId="4" fontId="16" fillId="0" borderId="1" xfId="1" applyNumberFormat="1" applyFont="1" applyBorder="1" applyAlignment="1">
      <alignment vertical="center" wrapText="1"/>
    </xf>
    <xf numFmtId="0" fontId="43" fillId="6" borderId="1" xfId="0" applyFont="1" applyFill="1" applyBorder="1" applyAlignment="1">
      <alignment horizontal="center" vertical="center" wrapText="1"/>
    </xf>
    <xf numFmtId="4" fontId="16" fillId="0" borderId="1" xfId="85" applyNumberFormat="1" applyFont="1" applyFill="1" applyBorder="1" applyAlignment="1">
      <alignment horizontal="right" vertical="center" wrapText="1"/>
    </xf>
    <xf numFmtId="0" fontId="58" fillId="0" borderId="0" xfId="0" applyFont="1" applyAlignment="1">
      <alignment vertical="center" wrapText="1"/>
    </xf>
    <xf numFmtId="4" fontId="51" fillId="0" borderId="1" xfId="0" applyNumberFormat="1" applyFont="1" applyFill="1" applyBorder="1" applyAlignment="1">
      <alignment vertical="center" wrapText="1"/>
    </xf>
    <xf numFmtId="0" fontId="9" fillId="0" borderId="30" xfId="0" applyFont="1" applyBorder="1" applyAlignment="1">
      <alignment wrapText="1"/>
    </xf>
    <xf numFmtId="0" fontId="16" fillId="0" borderId="3" xfId="0" applyFont="1" applyBorder="1" applyAlignment="1">
      <alignment horizontal="center" vertical="center" wrapText="1"/>
    </xf>
    <xf numFmtId="4" fontId="16" fillId="0" borderId="3" xfId="0" applyNumberFormat="1" applyFont="1" applyBorder="1" applyAlignment="1">
      <alignment horizontal="center" vertical="center" wrapText="1"/>
    </xf>
    <xf numFmtId="4" fontId="16" fillId="0" borderId="3" xfId="1" applyNumberFormat="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9" fillId="0" borderId="31" xfId="0" applyFont="1" applyBorder="1" applyAlignment="1">
      <alignment wrapText="1"/>
    </xf>
    <xf numFmtId="0" fontId="16" fillId="0" borderId="3" xfId="0" applyNumberFormat="1" applyFont="1" applyFill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42" fillId="41" borderId="2" xfId="27" applyFont="1" applyFill="1" applyBorder="1" applyAlignment="1">
      <alignment horizontal="center" vertical="center" wrapText="1"/>
    </xf>
    <xf numFmtId="4" fontId="42" fillId="41" borderId="2" xfId="27" applyNumberFormat="1" applyFont="1" applyFill="1" applyBorder="1" applyAlignment="1">
      <alignment horizontal="center" vertical="center" wrapText="1"/>
    </xf>
    <xf numFmtId="4" fontId="43" fillId="41" borderId="2" xfId="28" applyNumberFormat="1" applyFont="1" applyFill="1" applyBorder="1" applyAlignment="1">
      <alignment horizontal="right" vertical="center" wrapText="1"/>
    </xf>
    <xf numFmtId="4" fontId="42" fillId="41" borderId="2" xfId="27" applyNumberFormat="1" applyFont="1" applyFill="1" applyBorder="1" applyAlignment="1">
      <alignment horizontal="right" vertical="center" wrapText="1"/>
    </xf>
    <xf numFmtId="0" fontId="43" fillId="0" borderId="1" xfId="0" applyFont="1" applyFill="1" applyBorder="1" applyAlignment="1">
      <alignment horizontal="center" vertical="center"/>
    </xf>
    <xf numFmtId="0" fontId="43" fillId="0" borderId="63" xfId="0" applyFont="1" applyFill="1" applyBorder="1" applyAlignment="1">
      <alignment vertical="center"/>
    </xf>
    <xf numFmtId="0" fontId="43" fillId="0" borderId="25" xfId="0" applyFont="1" applyFill="1" applyBorder="1" applyAlignment="1">
      <alignment vertical="center"/>
    </xf>
    <xf numFmtId="0" fontId="43" fillId="0" borderId="25" xfId="0" applyFont="1" applyFill="1" applyBorder="1" applyAlignment="1">
      <alignment horizontal="center" vertical="center"/>
    </xf>
    <xf numFmtId="0" fontId="43" fillId="0" borderId="25" xfId="0" applyFont="1" applyFill="1" applyBorder="1" applyAlignment="1">
      <alignment horizontal="right" vertical="center"/>
    </xf>
    <xf numFmtId="0" fontId="43" fillId="0" borderId="28" xfId="0" applyFont="1" applyFill="1" applyBorder="1" applyAlignment="1">
      <alignment vertical="center"/>
    </xf>
    <xf numFmtId="0" fontId="43" fillId="0" borderId="1" xfId="0" applyFont="1" applyFill="1" applyBorder="1" applyAlignment="1">
      <alignment horizontal="center" vertical="center" wrapText="1"/>
    </xf>
    <xf numFmtId="0" fontId="40" fillId="0" borderId="1" xfId="85" applyFont="1" applyFill="1" applyBorder="1" applyAlignment="1">
      <alignment horizontal="center" vertical="center" wrapText="1"/>
    </xf>
    <xf numFmtId="4" fontId="40" fillId="0" borderId="1" xfId="85" applyNumberFormat="1" applyFont="1" applyFill="1" applyBorder="1" applyAlignment="1">
      <alignment horizontal="right" vertical="center" wrapText="1"/>
    </xf>
    <xf numFmtId="4" fontId="16" fillId="0" borderId="1" xfId="85" applyNumberFormat="1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65" fillId="0" borderId="0" xfId="0" applyFont="1" applyAlignment="1">
      <alignment vertical="center"/>
    </xf>
    <xf numFmtId="0" fontId="65" fillId="0" borderId="63" xfId="0" applyFont="1" applyBorder="1" applyAlignment="1">
      <alignment wrapText="1"/>
    </xf>
    <xf numFmtId="0" fontId="65" fillId="0" borderId="28" xfId="0" applyFont="1" applyBorder="1" applyAlignment="1">
      <alignment vertical="center"/>
    </xf>
    <xf numFmtId="0" fontId="16" fillId="0" borderId="28" xfId="0" applyFont="1" applyBorder="1" applyAlignment="1">
      <alignment wrapText="1"/>
    </xf>
    <xf numFmtId="0" fontId="43" fillId="0" borderId="0" xfId="0" applyFont="1" applyAlignment="1">
      <alignment vertical="center" wrapText="1"/>
    </xf>
    <xf numFmtId="0" fontId="16" fillId="0" borderId="28" xfId="0" applyFont="1" applyFill="1" applyBorder="1" applyAlignment="1">
      <alignment vertical="center" wrapText="1"/>
    </xf>
    <xf numFmtId="0" fontId="16" fillId="0" borderId="0" xfId="0" applyFont="1" applyAlignment="1">
      <alignment vertical="center"/>
    </xf>
    <xf numFmtId="0" fontId="16" fillId="0" borderId="1" xfId="0" applyFont="1" applyFill="1" applyBorder="1" applyAlignment="1">
      <alignment wrapText="1"/>
    </xf>
    <xf numFmtId="0" fontId="16" fillId="0" borderId="1" xfId="0" applyFont="1" applyFill="1" applyBorder="1" applyAlignment="1">
      <alignment vertical="center" wrapText="1"/>
    </xf>
    <xf numFmtId="0" fontId="50" fillId="0" borderId="0" xfId="0" applyFont="1"/>
    <xf numFmtId="0" fontId="16" fillId="0" borderId="0" xfId="0" applyFont="1"/>
    <xf numFmtId="0" fontId="43" fillId="0" borderId="0" xfId="0" applyFont="1" applyAlignment="1">
      <alignment horizontal="right"/>
    </xf>
    <xf numFmtId="4" fontId="43" fillId="0" borderId="0" xfId="0" applyNumberFormat="1" applyFont="1"/>
    <xf numFmtId="0" fontId="43" fillId="0" borderId="0" xfId="0" applyFont="1" applyBorder="1" applyAlignment="1">
      <alignment horizontal="right"/>
    </xf>
    <xf numFmtId="4" fontId="43" fillId="0" borderId="0" xfId="0" applyNumberFormat="1" applyFont="1" applyBorder="1"/>
    <xf numFmtId="0" fontId="40" fillId="0" borderId="0" xfId="0" applyFont="1" applyAlignment="1">
      <alignment horizontal="right"/>
    </xf>
    <xf numFmtId="0" fontId="43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vertical="center"/>
    </xf>
    <xf numFmtId="0" fontId="66" fillId="2" borderId="1" xfId="0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right" vertical="center" wrapText="1"/>
    </xf>
    <xf numFmtId="0" fontId="43" fillId="0" borderId="1" xfId="0" applyFont="1" applyBorder="1" applyAlignment="1">
      <alignment horizontal="right" vertical="center"/>
    </xf>
    <xf numFmtId="0" fontId="16" fillId="2" borderId="1" xfId="0" applyFont="1" applyFill="1" applyBorder="1" applyAlignment="1">
      <alignment vertical="center" wrapText="1"/>
    </xf>
    <xf numFmtId="173" fontId="16" fillId="0" borderId="1" xfId="0" applyNumberFormat="1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4" fontId="16" fillId="0" borderId="1" xfId="0" applyNumberFormat="1" applyFont="1" applyBorder="1" applyAlignment="1">
      <alignment vertical="center"/>
    </xf>
    <xf numFmtId="0" fontId="40" fillId="0" borderId="1" xfId="0" applyFont="1" applyBorder="1" applyAlignment="1">
      <alignment horizontal="left" vertical="center" wrapText="1"/>
    </xf>
    <xf numFmtId="4" fontId="40" fillId="0" borderId="1" xfId="0" applyNumberFormat="1" applyFont="1" applyBorder="1" applyAlignment="1">
      <alignment horizontal="right" vertical="center" wrapText="1"/>
    </xf>
    <xf numFmtId="4" fontId="43" fillId="0" borderId="1" xfId="0" applyNumberFormat="1" applyFont="1" applyBorder="1"/>
    <xf numFmtId="0" fontId="67" fillId="2" borderId="1" xfId="0" applyFont="1" applyFill="1" applyBorder="1" applyAlignment="1">
      <alignment horizontal="center" vertical="center" wrapText="1"/>
    </xf>
    <xf numFmtId="4" fontId="16" fillId="0" borderId="1" xfId="0" applyNumberFormat="1" applyFont="1" applyFill="1" applyBorder="1" applyAlignment="1">
      <alignment horizontal="right" vertical="center"/>
    </xf>
    <xf numFmtId="4" fontId="68" fillId="0" borderId="3" xfId="0" applyNumberFormat="1" applyFont="1" applyFill="1" applyBorder="1" applyAlignment="1">
      <alignment vertical="center"/>
    </xf>
    <xf numFmtId="0" fontId="51" fillId="0" borderId="1" xfId="0" applyFont="1" applyFill="1" applyBorder="1" applyAlignment="1">
      <alignment horizontal="center" vertical="center" wrapText="1"/>
    </xf>
    <xf numFmtId="0" fontId="51" fillId="0" borderId="0" xfId="0" applyFont="1" applyAlignment="1">
      <alignment vertical="center" wrapText="1"/>
    </xf>
    <xf numFmtId="0" fontId="16" fillId="0" borderId="63" xfId="0" applyNumberFormat="1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4" fontId="16" fillId="0" borderId="28" xfId="0" applyNumberFormat="1" applyFont="1" applyFill="1" applyBorder="1" applyAlignment="1">
      <alignment horizontal="center" vertical="center"/>
    </xf>
    <xf numFmtId="4" fontId="16" fillId="0" borderId="64" xfId="0" applyNumberFormat="1" applyFont="1" applyBorder="1" applyAlignment="1">
      <alignment horizontal="right" vertical="center" wrapText="1"/>
    </xf>
    <xf numFmtId="0" fontId="40" fillId="0" borderId="1" xfId="0" applyFont="1" applyFill="1" applyBorder="1" applyAlignment="1">
      <alignment horizontal="center" vertical="center" wrapText="1"/>
    </xf>
    <xf numFmtId="173" fontId="16" fillId="0" borderId="1" xfId="0" applyNumberFormat="1" applyFont="1" applyFill="1" applyBorder="1" applyAlignment="1">
      <alignment horizontal="center" vertical="center"/>
    </xf>
    <xf numFmtId="4" fontId="16" fillId="0" borderId="1" xfId="0" applyNumberFormat="1" applyFont="1" applyFill="1" applyBorder="1" applyAlignment="1">
      <alignment vertical="center"/>
    </xf>
    <xf numFmtId="0" fontId="16" fillId="0" borderId="0" xfId="0" applyFont="1" applyFill="1"/>
    <xf numFmtId="0" fontId="11" fillId="0" borderId="35" xfId="0" applyFont="1" applyBorder="1" applyAlignment="1">
      <alignment vertical="top"/>
    </xf>
    <xf numFmtId="0" fontId="11" fillId="0" borderId="53" xfId="0" applyFont="1" applyBorder="1" applyAlignment="1">
      <alignment vertical="top"/>
    </xf>
    <xf numFmtId="0" fontId="11" fillId="0" borderId="32" xfId="0" applyFont="1" applyBorder="1" applyAlignment="1">
      <alignment vertical="top"/>
    </xf>
    <xf numFmtId="0" fontId="65" fillId="0" borderId="0" xfId="0" applyFont="1" applyFill="1" applyAlignment="1">
      <alignment wrapText="1"/>
    </xf>
    <xf numFmtId="0" fontId="65" fillId="0" borderId="63" xfId="0" applyFont="1" applyFill="1" applyBorder="1" applyAlignment="1">
      <alignment wrapText="1"/>
    </xf>
    <xf numFmtId="4" fontId="16" fillId="0" borderId="1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left"/>
    </xf>
    <xf numFmtId="0" fontId="12" fillId="3" borderId="5" xfId="11" applyFont="1" applyFill="1" applyBorder="1" applyAlignment="1">
      <alignment horizontal="right"/>
    </xf>
    <xf numFmtId="0" fontId="12" fillId="3" borderId="1" xfId="11" applyFont="1" applyFill="1" applyBorder="1" applyAlignment="1">
      <alignment horizontal="right"/>
    </xf>
    <xf numFmtId="0" fontId="12" fillId="3" borderId="6" xfId="11" applyFont="1" applyFill="1" applyBorder="1" applyAlignment="1">
      <alignment horizontal="right"/>
    </xf>
    <xf numFmtId="0" fontId="12" fillId="3" borderId="5" xfId="11" applyFont="1" applyFill="1" applyBorder="1" applyAlignment="1">
      <alignment horizontal="right" vertical="center"/>
    </xf>
    <xf numFmtId="0" fontId="12" fillId="3" borderId="1" xfId="11" applyFont="1" applyFill="1" applyBorder="1" applyAlignment="1">
      <alignment horizontal="right" vertical="center"/>
    </xf>
    <xf numFmtId="0" fontId="12" fillId="3" borderId="6" xfId="11" applyFont="1" applyFill="1" applyBorder="1" applyAlignment="1">
      <alignment horizontal="right" vertical="center"/>
    </xf>
    <xf numFmtId="0" fontId="12" fillId="3" borderId="21" xfId="11" applyFont="1" applyFill="1" applyBorder="1" applyAlignment="1">
      <alignment horizontal="right"/>
    </xf>
    <xf numFmtId="0" fontId="12" fillId="3" borderId="9" xfId="11" applyFont="1" applyFill="1" applyBorder="1" applyAlignment="1">
      <alignment horizontal="right"/>
    </xf>
    <xf numFmtId="0" fontId="12" fillId="3" borderId="10" xfId="11" applyFont="1" applyFill="1" applyBorder="1" applyAlignment="1">
      <alignment horizontal="right"/>
    </xf>
    <xf numFmtId="0" fontId="21" fillId="3" borderId="20" xfId="11" applyFont="1" applyFill="1" applyBorder="1" applyAlignment="1">
      <alignment horizontal="center" vertical="center"/>
    </xf>
    <xf numFmtId="0" fontId="21" fillId="3" borderId="19" xfId="11" applyFont="1" applyFill="1" applyBorder="1" applyAlignment="1">
      <alignment horizontal="center" vertical="center"/>
    </xf>
    <xf numFmtId="0" fontId="21" fillId="3" borderId="18" xfId="11" applyFont="1" applyFill="1" applyBorder="1" applyAlignment="1">
      <alignment horizontal="center" vertical="center"/>
    </xf>
    <xf numFmtId="0" fontId="21" fillId="3" borderId="21" xfId="11" applyFont="1" applyFill="1" applyBorder="1" applyAlignment="1">
      <alignment horizontal="center" vertical="center"/>
    </xf>
    <xf numFmtId="0" fontId="21" fillId="3" borderId="9" xfId="11" applyFont="1" applyFill="1" applyBorder="1" applyAlignment="1">
      <alignment horizontal="center" vertical="center"/>
    </xf>
    <xf numFmtId="0" fontId="21" fillId="3" borderId="10" xfId="11" applyFont="1" applyFill="1" applyBorder="1" applyAlignment="1">
      <alignment horizontal="center" vertical="center"/>
    </xf>
    <xf numFmtId="0" fontId="13" fillId="0" borderId="44" xfId="11" applyBorder="1" applyAlignment="1">
      <alignment horizontal="center"/>
    </xf>
    <xf numFmtId="0" fontId="13" fillId="0" borderId="45" xfId="11" applyBorder="1" applyAlignment="1">
      <alignment horizontal="center"/>
    </xf>
    <xf numFmtId="0" fontId="13" fillId="0" borderId="52" xfId="11" applyBorder="1" applyAlignment="1">
      <alignment horizontal="center"/>
    </xf>
    <xf numFmtId="0" fontId="13" fillId="0" borderId="46" xfId="11" applyBorder="1" applyAlignment="1">
      <alignment horizontal="center"/>
    </xf>
    <xf numFmtId="0" fontId="8" fillId="0" borderId="1" xfId="11" applyFont="1" applyBorder="1" applyAlignment="1">
      <alignment horizontal="center" vertical="center" wrapText="1"/>
    </xf>
    <xf numFmtId="0" fontId="12" fillId="0" borderId="21" xfId="11" applyFont="1" applyBorder="1" applyAlignment="1">
      <alignment horizontal="center" vertical="center"/>
    </xf>
    <xf numFmtId="0" fontId="12" fillId="0" borderId="9" xfId="11" applyFont="1" applyBorder="1" applyAlignment="1">
      <alignment horizontal="center" vertical="center"/>
    </xf>
    <xf numFmtId="0" fontId="12" fillId="3" borderId="20" xfId="11" applyFont="1" applyFill="1" applyBorder="1" applyAlignment="1">
      <alignment horizontal="right" vertical="center"/>
    </xf>
    <xf numFmtId="0" fontId="12" fillId="3" borderId="19" xfId="11" applyFont="1" applyFill="1" applyBorder="1" applyAlignment="1">
      <alignment horizontal="right" vertical="center"/>
    </xf>
    <xf numFmtId="0" fontId="12" fillId="3" borderId="18" xfId="11" applyFont="1" applyFill="1" applyBorder="1" applyAlignment="1">
      <alignment horizontal="right" vertical="center"/>
    </xf>
    <xf numFmtId="0" fontId="8" fillId="0" borderId="5" xfId="11" applyFont="1" applyBorder="1" applyAlignment="1">
      <alignment horizontal="center" vertical="center"/>
    </xf>
    <xf numFmtId="44" fontId="13" fillId="0" borderId="6" xfId="17" applyFill="1" applyBorder="1" applyAlignment="1">
      <alignment horizontal="center" vertical="center" wrapText="1"/>
    </xf>
    <xf numFmtId="0" fontId="21" fillId="3" borderId="29" xfId="11" applyFont="1" applyFill="1" applyBorder="1" applyAlignment="1">
      <alignment horizontal="center" vertical="center"/>
    </xf>
    <xf numFmtId="0" fontId="21" fillId="3" borderId="23" xfId="11" applyFont="1" applyFill="1" applyBorder="1" applyAlignment="1">
      <alignment horizontal="center" vertical="center"/>
    </xf>
    <xf numFmtId="0" fontId="13" fillId="0" borderId="5" xfId="11" applyBorder="1" applyAlignment="1">
      <alignment horizontal="center" vertical="center"/>
    </xf>
    <xf numFmtId="0" fontId="13" fillId="0" borderId="39" xfId="1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4" fontId="14" fillId="0" borderId="22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64" fontId="8" fillId="0" borderId="6" xfId="1" applyBorder="1" applyAlignment="1">
      <alignment horizontal="center" vertical="center"/>
    </xf>
    <xf numFmtId="0" fontId="13" fillId="0" borderId="1" xfId="11" applyBorder="1" applyAlignment="1">
      <alignment horizontal="center" vertical="center" wrapText="1"/>
    </xf>
    <xf numFmtId="0" fontId="8" fillId="2" borderId="13" xfId="11" applyFont="1" applyFill="1" applyBorder="1" applyAlignment="1">
      <alignment horizontal="center" vertical="center"/>
    </xf>
    <xf numFmtId="0" fontId="8" fillId="2" borderId="17" xfId="11" applyFont="1" applyFill="1" applyBorder="1" applyAlignment="1">
      <alignment horizontal="center" vertical="center"/>
    </xf>
    <xf numFmtId="0" fontId="8" fillId="2" borderId="14" xfId="11" applyFont="1" applyFill="1" applyBorder="1" applyAlignment="1">
      <alignment horizontal="center" vertical="center"/>
    </xf>
    <xf numFmtId="0" fontId="11" fillId="2" borderId="42" xfId="11" applyFont="1" applyFill="1" applyBorder="1" applyAlignment="1">
      <alignment horizontal="center" vertical="center"/>
    </xf>
    <xf numFmtId="0" fontId="11" fillId="2" borderId="0" xfId="11" applyFont="1" applyFill="1" applyAlignment="1">
      <alignment horizontal="center" vertical="center"/>
    </xf>
    <xf numFmtId="0" fontId="11" fillId="2" borderId="43" xfId="11" applyFont="1" applyFill="1" applyBorder="1" applyAlignment="1">
      <alignment horizontal="center" vertical="center"/>
    </xf>
    <xf numFmtId="0" fontId="11" fillId="2" borderId="0" xfId="11" applyFont="1" applyFill="1" applyAlignment="1">
      <alignment horizontal="center" vertical="center" wrapText="1"/>
    </xf>
    <xf numFmtId="0" fontId="11" fillId="2" borderId="43" xfId="11" applyFont="1" applyFill="1" applyBorder="1" applyAlignment="1">
      <alignment horizontal="center" vertical="center" wrapText="1"/>
    </xf>
    <xf numFmtId="0" fontId="12" fillId="2" borderId="0" xfId="11" applyFont="1" applyFill="1" applyAlignment="1">
      <alignment horizontal="center" vertical="center"/>
    </xf>
    <xf numFmtId="0" fontId="12" fillId="2" borderId="43" xfId="11" applyFont="1" applyFill="1" applyBorder="1" applyAlignment="1">
      <alignment horizontal="center" vertical="center"/>
    </xf>
    <xf numFmtId="0" fontId="12" fillId="0" borderId="0" xfId="11" applyFont="1" applyAlignment="1">
      <alignment horizontal="center"/>
    </xf>
    <xf numFmtId="0" fontId="12" fillId="5" borderId="13" xfId="11" applyFont="1" applyFill="1" applyBorder="1" applyAlignment="1">
      <alignment horizontal="center" vertical="center"/>
    </xf>
    <xf numFmtId="0" fontId="12" fillId="5" borderId="17" xfId="11" applyFont="1" applyFill="1" applyBorder="1" applyAlignment="1">
      <alignment horizontal="center" vertical="center"/>
    </xf>
    <xf numFmtId="0" fontId="12" fillId="5" borderId="14" xfId="11" applyFont="1" applyFill="1" applyBorder="1" applyAlignment="1">
      <alignment horizontal="center" vertical="center"/>
    </xf>
    <xf numFmtId="0" fontId="18" fillId="0" borderId="0" xfId="11" applyFont="1" applyAlignment="1">
      <alignment horizontal="center" vertical="center"/>
    </xf>
    <xf numFmtId="0" fontId="18" fillId="5" borderId="35" xfId="11" applyFont="1" applyFill="1" applyBorder="1" applyAlignment="1">
      <alignment horizontal="center" vertical="center"/>
    </xf>
    <xf numFmtId="0" fontId="18" fillId="5" borderId="34" xfId="11" applyFont="1" applyFill="1" applyBorder="1" applyAlignment="1">
      <alignment horizontal="center" vertical="center"/>
    </xf>
    <xf numFmtId="0" fontId="18" fillId="5" borderId="33" xfId="11" applyFont="1" applyFill="1" applyBorder="1" applyAlignment="1">
      <alignment horizontal="center" vertical="center"/>
    </xf>
    <xf numFmtId="0" fontId="18" fillId="5" borderId="32" xfId="11" applyFont="1" applyFill="1" applyBorder="1" applyAlignment="1">
      <alignment horizontal="center" vertical="center"/>
    </xf>
    <xf numFmtId="0" fontId="18" fillId="5" borderId="31" xfId="11" applyFont="1" applyFill="1" applyBorder="1" applyAlignment="1">
      <alignment horizontal="center" vertical="center"/>
    </xf>
    <xf numFmtId="0" fontId="18" fillId="5" borderId="30" xfId="11" applyFont="1" applyFill="1" applyBorder="1" applyAlignment="1">
      <alignment horizontal="center" vertical="center"/>
    </xf>
    <xf numFmtId="0" fontId="12" fillId="2" borderId="0" xfId="11" applyFont="1" applyFill="1" applyAlignment="1">
      <alignment horizontal="center"/>
    </xf>
    <xf numFmtId="0" fontId="16" fillId="2" borderId="0" xfId="11" applyFont="1" applyFill="1" applyAlignment="1">
      <alignment horizontal="center"/>
    </xf>
    <xf numFmtId="0" fontId="8" fillId="2" borderId="0" xfId="11" applyFont="1" applyFill="1" applyAlignment="1">
      <alignment horizontal="center"/>
    </xf>
    <xf numFmtId="14" fontId="41" fillId="0" borderId="34" xfId="27" applyNumberFormat="1" applyFont="1" applyBorder="1" applyAlignment="1">
      <alignment horizontal="right" wrapText="1"/>
    </xf>
    <xf numFmtId="14" fontId="41" fillId="0" borderId="33" xfId="27" applyNumberFormat="1" applyFont="1" applyBorder="1" applyAlignment="1">
      <alignment horizontal="right" wrapText="1"/>
    </xf>
    <xf numFmtId="0" fontId="61" fillId="0" borderId="0" xfId="27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4" xfId="0" applyBorder="1" applyAlignment="1">
      <alignment horizontal="center"/>
    </xf>
    <xf numFmtId="0" fontId="40" fillId="0" borderId="0" xfId="27" applyFont="1" applyBorder="1" applyAlignment="1">
      <alignment horizontal="center" vertical="center" wrapText="1"/>
    </xf>
    <xf numFmtId="0" fontId="40" fillId="0" borderId="44" xfId="27" applyFont="1" applyBorder="1" applyAlignment="1">
      <alignment horizontal="center" vertical="center" wrapText="1"/>
    </xf>
    <xf numFmtId="0" fontId="61" fillId="0" borderId="31" xfId="27" applyFont="1" applyBorder="1" applyAlignment="1">
      <alignment horizontal="center" vertical="center" wrapText="1"/>
    </xf>
    <xf numFmtId="0" fontId="61" fillId="0" borderId="30" xfId="27" applyFont="1" applyBorder="1" applyAlignment="1">
      <alignment horizontal="center" vertical="center" wrapText="1"/>
    </xf>
    <xf numFmtId="0" fontId="61" fillId="0" borderId="44" xfId="27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9" fillId="0" borderId="44" xfId="0" applyFont="1" applyBorder="1" applyAlignment="1">
      <alignment horizontal="center"/>
    </xf>
    <xf numFmtId="0" fontId="14" fillId="0" borderId="63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60" fillId="3" borderId="63" xfId="0" applyFont="1" applyFill="1" applyBorder="1" applyAlignment="1">
      <alignment horizontal="center"/>
    </xf>
    <xf numFmtId="0" fontId="60" fillId="3" borderId="25" xfId="0" applyFont="1" applyFill="1" applyBorder="1" applyAlignment="1">
      <alignment horizontal="center"/>
    </xf>
    <xf numFmtId="0" fontId="60" fillId="3" borderId="28" xfId="0" applyFont="1" applyFill="1" applyBorder="1" applyAlignment="1">
      <alignment horizontal="center"/>
    </xf>
    <xf numFmtId="4" fontId="60" fillId="3" borderId="1" xfId="0" applyNumberFormat="1" applyFont="1" applyFill="1" applyBorder="1" applyAlignment="1">
      <alignment horizontal="center" vertical="center"/>
    </xf>
    <xf numFmtId="0" fontId="60" fillId="3" borderId="63" xfId="0" applyFont="1" applyFill="1" applyBorder="1" applyAlignment="1">
      <alignment horizontal="center" vertical="center"/>
    </xf>
    <xf numFmtId="0" fontId="60" fillId="3" borderId="25" xfId="0" applyFont="1" applyFill="1" applyBorder="1" applyAlignment="1">
      <alignment horizontal="center" vertical="center"/>
    </xf>
    <xf numFmtId="0" fontId="60" fillId="3" borderId="28" xfId="0" applyFont="1" applyFill="1" applyBorder="1" applyAlignment="1">
      <alignment horizontal="center" vertical="center"/>
    </xf>
    <xf numFmtId="0" fontId="60" fillId="3" borderId="1" xfId="0" applyFont="1" applyFill="1" applyBorder="1" applyAlignment="1">
      <alignment horizontal="center"/>
    </xf>
    <xf numFmtId="4" fontId="14" fillId="0" borderId="1" xfId="0" applyNumberFormat="1" applyFont="1" applyBorder="1" applyAlignment="1">
      <alignment horizontal="center" vertical="center"/>
    </xf>
    <xf numFmtId="4" fontId="48" fillId="3" borderId="63" xfId="1" applyNumberFormat="1" applyFont="1" applyFill="1" applyBorder="1" applyAlignment="1">
      <alignment horizontal="right" vertical="center"/>
    </xf>
    <xf numFmtId="4" fontId="48" fillId="3" borderId="25" xfId="1" applyNumberFormat="1" applyFont="1" applyFill="1" applyBorder="1" applyAlignment="1">
      <alignment horizontal="right" vertical="center"/>
    </xf>
    <xf numFmtId="4" fontId="48" fillId="3" borderId="28" xfId="1" applyNumberFormat="1" applyFont="1" applyFill="1" applyBorder="1" applyAlignment="1">
      <alignment horizontal="right" vertical="center"/>
    </xf>
    <xf numFmtId="0" fontId="51" fillId="0" borderId="63" xfId="0" applyFont="1" applyFill="1" applyBorder="1" applyAlignment="1">
      <alignment horizontal="left" vertical="center"/>
    </xf>
    <xf numFmtId="0" fontId="51" fillId="0" borderId="25" xfId="0" applyFont="1" applyFill="1" applyBorder="1" applyAlignment="1">
      <alignment horizontal="left" vertical="center"/>
    </xf>
    <xf numFmtId="0" fontId="51" fillId="0" borderId="28" xfId="0" applyFont="1" applyFill="1" applyBorder="1" applyAlignment="1">
      <alignment horizontal="left" vertical="center"/>
    </xf>
    <xf numFmtId="0" fontId="51" fillId="3" borderId="63" xfId="0" applyFont="1" applyFill="1" applyBorder="1" applyAlignment="1">
      <alignment horizontal="left" vertical="center"/>
    </xf>
    <xf numFmtId="0" fontId="51" fillId="3" borderId="25" xfId="0" applyFont="1" applyFill="1" applyBorder="1" applyAlignment="1">
      <alignment horizontal="left" vertical="center"/>
    </xf>
    <xf numFmtId="0" fontId="51" fillId="3" borderId="28" xfId="0" applyFont="1" applyFill="1" applyBorder="1" applyAlignment="1">
      <alignment horizontal="left" vertical="center"/>
    </xf>
    <xf numFmtId="4" fontId="43" fillId="0" borderId="63" xfId="1" applyNumberFormat="1" applyFont="1" applyBorder="1" applyAlignment="1">
      <alignment horizontal="right" vertical="center"/>
    </xf>
    <xf numFmtId="4" fontId="43" fillId="0" borderId="25" xfId="1" applyNumberFormat="1" applyFont="1" applyBorder="1" applyAlignment="1">
      <alignment horizontal="right" vertical="center"/>
    </xf>
    <xf numFmtId="4" fontId="43" fillId="0" borderId="28" xfId="1" applyNumberFormat="1" applyFont="1" applyBorder="1" applyAlignment="1">
      <alignment horizontal="right" vertical="center"/>
    </xf>
    <xf numFmtId="0" fontId="40" fillId="0" borderId="35" xfId="27" applyFont="1" applyBorder="1" applyAlignment="1">
      <alignment horizontal="right" vertical="center" wrapText="1"/>
    </xf>
    <xf numFmtId="0" fontId="40" fillId="0" borderId="33" xfId="27" applyFont="1" applyBorder="1" applyAlignment="1">
      <alignment horizontal="right" vertical="center" wrapText="1"/>
    </xf>
    <xf numFmtId="0" fontId="40" fillId="0" borderId="63" xfId="27" applyFont="1" applyBorder="1" applyAlignment="1">
      <alignment horizontal="right" vertical="center" wrapText="1"/>
    </xf>
    <xf numFmtId="0" fontId="40" fillId="0" borderId="28" xfId="27" applyFont="1" applyBorder="1" applyAlignment="1">
      <alignment horizontal="right" vertical="center" wrapText="1"/>
    </xf>
    <xf numFmtId="4" fontId="48" fillId="0" borderId="63" xfId="1" applyNumberFormat="1" applyFont="1" applyBorder="1" applyAlignment="1">
      <alignment horizontal="right" vertical="center"/>
    </xf>
    <xf numFmtId="4" fontId="48" fillId="0" borderId="25" xfId="1" applyNumberFormat="1" applyFont="1" applyBorder="1" applyAlignment="1">
      <alignment horizontal="right" vertical="center"/>
    </xf>
    <xf numFmtId="4" fontId="48" fillId="0" borderId="28" xfId="1" applyNumberFormat="1" applyFont="1" applyBorder="1" applyAlignment="1">
      <alignment horizontal="right" vertical="center"/>
    </xf>
    <xf numFmtId="4" fontId="43" fillId="0" borderId="63" xfId="1" applyNumberFormat="1" applyFont="1" applyBorder="1" applyAlignment="1">
      <alignment horizontal="right" vertical="center" wrapText="1"/>
    </xf>
    <xf numFmtId="4" fontId="43" fillId="0" borderId="25" xfId="1" applyNumberFormat="1" applyFont="1" applyBorder="1" applyAlignment="1">
      <alignment horizontal="right" vertical="center" wrapText="1"/>
    </xf>
    <xf numFmtId="4" fontId="43" fillId="0" borderId="28" xfId="1" applyNumberFormat="1" applyFont="1" applyBorder="1" applyAlignment="1">
      <alignment horizontal="right" vertical="center" wrapText="1"/>
    </xf>
    <xf numFmtId="0" fontId="68" fillId="0" borderId="63" xfId="0" applyFont="1" applyFill="1" applyBorder="1" applyAlignment="1">
      <alignment horizontal="center" vertical="center"/>
    </xf>
    <xf numFmtId="0" fontId="68" fillId="0" borderId="25" xfId="0" applyFont="1" applyFill="1" applyBorder="1" applyAlignment="1">
      <alignment horizontal="center" vertical="center"/>
    </xf>
    <xf numFmtId="0" fontId="68" fillId="0" borderId="28" xfId="0" applyFont="1" applyFill="1" applyBorder="1" applyAlignment="1">
      <alignment horizontal="center" vertical="center"/>
    </xf>
    <xf numFmtId="0" fontId="43" fillId="6" borderId="63" xfId="0" applyFont="1" applyFill="1" applyBorder="1" applyAlignment="1">
      <alignment horizontal="left" vertical="center" wrapText="1"/>
    </xf>
    <xf numFmtId="0" fontId="43" fillId="6" borderId="25" xfId="0" applyFont="1" applyFill="1" applyBorder="1" applyAlignment="1">
      <alignment horizontal="left" vertical="center" wrapText="1"/>
    </xf>
    <xf numFmtId="0" fontId="43" fillId="6" borderId="28" xfId="0" applyFont="1" applyFill="1" applyBorder="1" applyAlignment="1">
      <alignment horizontal="left" vertical="center" wrapText="1"/>
    </xf>
    <xf numFmtId="0" fontId="43" fillId="0" borderId="63" xfId="0" applyFont="1" applyFill="1" applyBorder="1" applyAlignment="1">
      <alignment horizontal="left" vertical="center" wrapText="1"/>
    </xf>
    <xf numFmtId="0" fontId="43" fillId="0" borderId="25" xfId="0" applyFont="1" applyFill="1" applyBorder="1" applyAlignment="1">
      <alignment horizontal="left" vertical="center" wrapText="1"/>
    </xf>
    <xf numFmtId="0" fontId="43" fillId="0" borderId="28" xfId="0" applyFont="1" applyFill="1" applyBorder="1" applyAlignment="1">
      <alignment horizontal="left" vertical="center" wrapText="1"/>
    </xf>
    <xf numFmtId="0" fontId="51" fillId="0" borderId="63" xfId="0" applyFont="1" applyFill="1" applyBorder="1" applyAlignment="1">
      <alignment horizontal="left" vertical="center" wrapText="1"/>
    </xf>
    <xf numFmtId="0" fontId="51" fillId="0" borderId="25" xfId="0" applyFont="1" applyFill="1" applyBorder="1" applyAlignment="1">
      <alignment horizontal="left" vertical="center" wrapText="1"/>
    </xf>
    <xf numFmtId="0" fontId="51" fillId="0" borderId="28" xfId="0" applyFont="1" applyFill="1" applyBorder="1" applyAlignment="1">
      <alignment horizontal="left" vertical="center" wrapText="1"/>
    </xf>
    <xf numFmtId="4" fontId="43" fillId="0" borderId="63" xfId="1" applyNumberFormat="1" applyFont="1" applyFill="1" applyBorder="1" applyAlignment="1">
      <alignment horizontal="right" vertical="center"/>
    </xf>
    <xf numFmtId="4" fontId="43" fillId="0" borderId="25" xfId="1" applyNumberFormat="1" applyFont="1" applyFill="1" applyBorder="1" applyAlignment="1">
      <alignment horizontal="right" vertical="center"/>
    </xf>
    <xf numFmtId="4" fontId="43" fillId="0" borderId="28" xfId="1" applyNumberFormat="1" applyFont="1" applyFill="1" applyBorder="1" applyAlignment="1">
      <alignment horizontal="right" vertical="center"/>
    </xf>
    <xf numFmtId="0" fontId="64" fillId="0" borderId="63" xfId="27" applyFont="1" applyFill="1" applyBorder="1" applyAlignment="1">
      <alignment horizontal="center" vertical="center" wrapText="1"/>
    </xf>
    <xf numFmtId="0" fontId="64" fillId="0" borderId="25" xfId="27" applyFont="1" applyFill="1" applyBorder="1" applyAlignment="1">
      <alignment horizontal="center" vertical="center" wrapText="1"/>
    </xf>
    <xf numFmtId="0" fontId="64" fillId="0" borderId="28" xfId="27" applyFont="1" applyFill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center" vertical="center" wrapText="1"/>
    </xf>
    <xf numFmtId="0" fontId="43" fillId="3" borderId="1" xfId="0" applyFont="1" applyFill="1" applyBorder="1" applyAlignment="1">
      <alignment horizontal="center" vertical="center" wrapText="1"/>
    </xf>
    <xf numFmtId="0" fontId="43" fillId="3" borderId="1" xfId="0" applyFont="1" applyFill="1" applyBorder="1" applyAlignment="1">
      <alignment horizontal="center" wrapText="1"/>
    </xf>
    <xf numFmtId="0" fontId="43" fillId="0" borderId="1" xfId="0" applyFont="1" applyBorder="1" applyAlignment="1">
      <alignment horizontal="right"/>
    </xf>
    <xf numFmtId="14" fontId="49" fillId="0" borderId="34" xfId="0" applyNumberFormat="1" applyFont="1" applyBorder="1" applyAlignment="1">
      <alignment horizontal="right" vertical="center" wrapText="1"/>
    </xf>
    <xf numFmtId="14" fontId="49" fillId="0" borderId="33" xfId="0" applyNumberFormat="1" applyFont="1" applyBorder="1" applyAlignment="1">
      <alignment horizontal="right" vertical="center" wrapText="1"/>
    </xf>
    <xf numFmtId="0" fontId="45" fillId="0" borderId="0" xfId="0" applyFont="1" applyBorder="1" applyAlignment="1">
      <alignment horizontal="center" vertical="top"/>
    </xf>
    <xf numFmtId="0" fontId="45" fillId="0" borderId="44" xfId="0" applyFont="1" applyBorder="1" applyAlignment="1">
      <alignment horizontal="center" vertical="top"/>
    </xf>
    <xf numFmtId="0" fontId="45" fillId="0" borderId="0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8" fillId="0" borderId="1" xfId="29" applyFont="1" applyBorder="1" applyAlignment="1" applyProtection="1">
      <alignment horizontal="center" vertical="center" wrapText="1" shrinkToFit="1"/>
      <protection locked="0"/>
    </xf>
    <xf numFmtId="0" fontId="45" fillId="0" borderId="35" xfId="29" applyFont="1" applyBorder="1" applyAlignment="1">
      <alignment horizontal="center" vertical="center"/>
    </xf>
    <xf numFmtId="0" fontId="45" fillId="0" borderId="34" xfId="29" applyFont="1" applyBorder="1" applyAlignment="1">
      <alignment horizontal="center" vertical="center"/>
    </xf>
    <xf numFmtId="0" fontId="11" fillId="0" borderId="33" xfId="29" applyFont="1" applyBorder="1" applyAlignment="1">
      <alignment horizontal="center" vertical="center"/>
    </xf>
    <xf numFmtId="0" fontId="11" fillId="0" borderId="44" xfId="29" applyFont="1" applyBorder="1" applyAlignment="1">
      <alignment horizontal="center" vertical="center"/>
    </xf>
    <xf numFmtId="0" fontId="11" fillId="0" borderId="30" xfId="29" applyFont="1" applyBorder="1" applyAlignment="1">
      <alignment horizontal="center" vertical="center"/>
    </xf>
    <xf numFmtId="0" fontId="45" fillId="0" borderId="53" xfId="29" applyFont="1" applyBorder="1" applyAlignment="1">
      <alignment horizontal="center" vertical="center" wrapText="1"/>
    </xf>
    <xf numFmtId="0" fontId="45" fillId="0" borderId="0" xfId="29" applyFont="1" applyBorder="1" applyAlignment="1">
      <alignment horizontal="center" vertical="center" wrapText="1"/>
    </xf>
    <xf numFmtId="0" fontId="45" fillId="0" borderId="53" xfId="29" applyFont="1" applyBorder="1" applyAlignment="1">
      <alignment horizontal="center" vertical="center"/>
    </xf>
    <xf numFmtId="0" fontId="45" fillId="0" borderId="0" xfId="29" applyFont="1" applyBorder="1" applyAlignment="1">
      <alignment horizontal="center" vertical="center"/>
    </xf>
    <xf numFmtId="0" fontId="16" fillId="0" borderId="32" xfId="29" applyFont="1" applyBorder="1" applyAlignment="1">
      <alignment horizontal="center" vertical="center"/>
    </xf>
    <xf numFmtId="0" fontId="16" fillId="0" borderId="31" xfId="29" applyFont="1" applyBorder="1" applyAlignment="1">
      <alignment horizontal="center" vertical="center"/>
    </xf>
    <xf numFmtId="0" fontId="15" fillId="0" borderId="1" xfId="29" applyFont="1" applyBorder="1" applyAlignment="1">
      <alignment horizontal="center" vertical="center"/>
    </xf>
    <xf numFmtId="0" fontId="15" fillId="0" borderId="1" xfId="29" applyFont="1" applyBorder="1" applyAlignment="1" applyProtection="1">
      <alignment horizontal="left" vertical="center" wrapText="1" shrinkToFit="1"/>
      <protection locked="0"/>
    </xf>
    <xf numFmtId="4" fontId="15" fillId="0" borderId="1" xfId="29" applyNumberFormat="1" applyFont="1" applyBorder="1" applyAlignment="1" applyProtection="1">
      <alignment horizontal="center" vertical="center" wrapText="1" shrinkToFit="1"/>
      <protection locked="0"/>
    </xf>
    <xf numFmtId="4" fontId="15" fillId="0" borderId="1" xfId="29" applyNumberFormat="1" applyFont="1" applyBorder="1" applyAlignment="1">
      <alignment horizontal="center" vertical="center" wrapText="1"/>
    </xf>
    <xf numFmtId="0" fontId="48" fillId="0" borderId="1" xfId="29" applyFont="1" applyBorder="1" applyAlignment="1" applyProtection="1">
      <alignment horizontal="center" vertical="center" shrinkToFit="1"/>
      <protection locked="0"/>
    </xf>
    <xf numFmtId="0" fontId="52" fillId="0" borderId="1" xfId="27" applyFont="1" applyBorder="1" applyAlignment="1">
      <alignment horizontal="center" vertical="center" wrapText="1"/>
    </xf>
    <xf numFmtId="0" fontId="16" fillId="0" borderId="31" xfId="27" applyFont="1" applyBorder="1" applyAlignment="1">
      <alignment horizontal="right" vertical="top" wrapText="1"/>
    </xf>
    <xf numFmtId="0" fontId="16" fillId="0" borderId="30" xfId="27" applyFont="1" applyBorder="1" applyAlignment="1">
      <alignment horizontal="right" vertical="top" wrapText="1"/>
    </xf>
    <xf numFmtId="4" fontId="49" fillId="0" borderId="35" xfId="27" applyNumberFormat="1" applyFont="1" applyBorder="1" applyAlignment="1">
      <alignment horizontal="right" vertical="center" wrapText="1"/>
    </xf>
    <xf numFmtId="4" fontId="49" fillId="0" borderId="34" xfId="27" applyNumberFormat="1" applyFont="1" applyBorder="1" applyAlignment="1">
      <alignment horizontal="right" vertical="center" wrapText="1"/>
    </xf>
    <xf numFmtId="4" fontId="49" fillId="0" borderId="33" xfId="27" applyNumberFormat="1" applyFont="1" applyBorder="1" applyAlignment="1">
      <alignment horizontal="right" vertical="center" wrapText="1"/>
    </xf>
    <xf numFmtId="0" fontId="45" fillId="0" borderId="0" xfId="27" applyFont="1" applyBorder="1" applyAlignment="1">
      <alignment horizontal="center" vertical="top"/>
    </xf>
    <xf numFmtId="0" fontId="45" fillId="0" borderId="44" xfId="27" applyFont="1" applyBorder="1" applyAlignment="1">
      <alignment horizontal="center" vertical="top"/>
    </xf>
    <xf numFmtId="0" fontId="45" fillId="0" borderId="0" xfId="27" applyFont="1" applyBorder="1" applyAlignment="1">
      <alignment horizontal="center" vertical="top" wrapText="1"/>
    </xf>
    <xf numFmtId="0" fontId="45" fillId="0" borderId="44" xfId="27" applyFont="1" applyBorder="1" applyAlignment="1">
      <alignment horizontal="center" vertical="top" wrapText="1"/>
    </xf>
    <xf numFmtId="0" fontId="45" fillId="0" borderId="0" xfId="27" applyFont="1" applyBorder="1" applyAlignment="1">
      <alignment horizontal="center" vertical="center"/>
    </xf>
    <xf numFmtId="0" fontId="45" fillId="0" borderId="44" xfId="27" applyFont="1" applyBorder="1" applyAlignment="1">
      <alignment horizontal="center" vertical="center"/>
    </xf>
  </cellXfs>
  <cellStyles count="86">
    <cellStyle name="0,0_x000d__x000a_NA_x000d__x000a_" xfId="32"/>
    <cellStyle name="20% - Ênfase1 2" xfId="33"/>
    <cellStyle name="20% - Ênfase2 2" xfId="34"/>
    <cellStyle name="20% - Ênfase3 2" xfId="35"/>
    <cellStyle name="20% - Ênfase4 2" xfId="36"/>
    <cellStyle name="20% - Ênfase5 2" xfId="37"/>
    <cellStyle name="20% - Ênfase6 2" xfId="38"/>
    <cellStyle name="40% - Ênfase1 2" xfId="39"/>
    <cellStyle name="40% - Ênfase2 2" xfId="40"/>
    <cellStyle name="40% - Ênfase3 2" xfId="41"/>
    <cellStyle name="40% - Ênfase4 2" xfId="42"/>
    <cellStyle name="40% - Ênfase5 2" xfId="43"/>
    <cellStyle name="40% - Ênfase6 2" xfId="44"/>
    <cellStyle name="60% - Ênfase1 2" xfId="45"/>
    <cellStyle name="60% - Ênfase2 2" xfId="46"/>
    <cellStyle name="60% - Ênfase3 2" xfId="47"/>
    <cellStyle name="60% - Ênfase4 2" xfId="48"/>
    <cellStyle name="60% - Ênfase5 2" xfId="49"/>
    <cellStyle name="60% - Ênfase6 2" xfId="50"/>
    <cellStyle name="Bom 2" xfId="51"/>
    <cellStyle name="Cálculo 2" xfId="52"/>
    <cellStyle name="Célula de Verificação 2" xfId="53"/>
    <cellStyle name="Célula Vinculada 2" xfId="54"/>
    <cellStyle name="Ênfase1 2" xfId="55"/>
    <cellStyle name="Ênfase2 2" xfId="56"/>
    <cellStyle name="Ênfase3 2" xfId="57"/>
    <cellStyle name="Ênfase4 2" xfId="58"/>
    <cellStyle name="Ênfase5 2" xfId="59"/>
    <cellStyle name="Ênfase6 2" xfId="60"/>
    <cellStyle name="Entrada 2" xfId="61"/>
    <cellStyle name="Hiperlink" xfId="14"/>
    <cellStyle name="Incorreto 2" xfId="62"/>
    <cellStyle name="Moeda" xfId="1" builtinId="4"/>
    <cellStyle name="Moeda 2" xfId="2"/>
    <cellStyle name="Moeda 2 2" xfId="17"/>
    <cellStyle name="Moeda 3" xfId="3"/>
    <cellStyle name="Moeda 4" xfId="10"/>
    <cellStyle name="Moeda 5" xfId="18"/>
    <cellStyle name="Moeda 6" xfId="22"/>
    <cellStyle name="Moeda 6 2" xfId="23"/>
    <cellStyle name="Moeda 7" xfId="24"/>
    <cellStyle name="Neutra 2" xfId="63"/>
    <cellStyle name="Normal" xfId="0" builtinId="0"/>
    <cellStyle name="Normal 10" xfId="85"/>
    <cellStyle name="Normal 2" xfId="4"/>
    <cellStyle name="Normal 2 2" xfId="11"/>
    <cellStyle name="Normal 2 2 2" xfId="64"/>
    <cellStyle name="Normal 3" xfId="8"/>
    <cellStyle name="Normal 3 2" xfId="65"/>
    <cellStyle name="Normal 3 3" xfId="66"/>
    <cellStyle name="Normal 3 4" xfId="29"/>
    <cellStyle name="Normal 4" xfId="13"/>
    <cellStyle name="Normal 5" xfId="19"/>
    <cellStyle name="Normal 6" xfId="20"/>
    <cellStyle name="Normal 7" xfId="21"/>
    <cellStyle name="Normal 8" xfId="27"/>
    <cellStyle name="Normal 8 2" xfId="30"/>
    <cellStyle name="Normal 9" xfId="28"/>
    <cellStyle name="Nota 2" xfId="67"/>
    <cellStyle name="Porcentagem" xfId="26" builtinId="5"/>
    <cellStyle name="Porcentagem 2" xfId="5"/>
    <cellStyle name="Porcentagem 2 2" xfId="12"/>
    <cellStyle name="Porcentagem 2 3" xfId="68"/>
    <cellStyle name="Porcentagem 3" xfId="6"/>
    <cellStyle name="Porcentagem 3 2" xfId="69"/>
    <cellStyle name="Porcentagem 4" xfId="9"/>
    <cellStyle name="Porcentagem 5" xfId="15"/>
    <cellStyle name="Porcentagem 6" xfId="31"/>
    <cellStyle name="Saída 2" xfId="70"/>
    <cellStyle name="Separador de milhares" xfId="25" builtinId="3"/>
    <cellStyle name="Separador de milhares 2" xfId="71"/>
    <cellStyle name="Texto de Aviso 2" xfId="72"/>
    <cellStyle name="Texto Explicativo 2" xfId="73"/>
    <cellStyle name="Título 1 2" xfId="74"/>
    <cellStyle name="Título 2 2" xfId="75"/>
    <cellStyle name="Título 3 2" xfId="76"/>
    <cellStyle name="Título 4 2" xfId="77"/>
    <cellStyle name="Título 5" xfId="78"/>
    <cellStyle name="Total 2" xfId="79"/>
    <cellStyle name="Vírgula 2" xfId="7"/>
    <cellStyle name="Vírgula 2 2" xfId="80"/>
    <cellStyle name="Vírgula 2 3" xfId="81"/>
    <cellStyle name="Vírgula 3" xfId="16"/>
    <cellStyle name="Vírgula 4" xfId="82"/>
    <cellStyle name="Vírgula 4 2" xfId="83"/>
    <cellStyle name="Vírgula 5" xfId="8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99FF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1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20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27940</xdr:colOff>
      <xdr:row>1</xdr:row>
      <xdr:rowOff>81703</xdr:rowOff>
    </xdr:from>
    <xdr:to>
      <xdr:col>2</xdr:col>
      <xdr:colOff>743584</xdr:colOff>
      <xdr:row>6</xdr:row>
      <xdr:rowOff>199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EBC3C362-2E40-260F-3452-8CEA77E46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97273" y="251036"/>
          <a:ext cx="1102571" cy="7911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1</xdr:row>
      <xdr:rowOff>85725</xdr:rowOff>
    </xdr:from>
    <xdr:to>
      <xdr:col>1</xdr:col>
      <xdr:colOff>238124</xdr:colOff>
      <xdr:row>5</xdr:row>
      <xdr:rowOff>95250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099" y="228600"/>
          <a:ext cx="1171575" cy="9620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21430</xdr:colOff>
      <xdr:row>1</xdr:row>
      <xdr:rowOff>66676</xdr:rowOff>
    </xdr:from>
    <xdr:to>
      <xdr:col>2</xdr:col>
      <xdr:colOff>200025</xdr:colOff>
      <xdr:row>5</xdr:row>
      <xdr:rowOff>28576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430" y="209551"/>
          <a:ext cx="1159670" cy="914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2</xdr:col>
      <xdr:colOff>178596</xdr:colOff>
      <xdr:row>4</xdr:row>
      <xdr:rowOff>219075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57150"/>
          <a:ext cx="1188246" cy="8286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133350</xdr:rowOff>
    </xdr:from>
    <xdr:to>
      <xdr:col>2</xdr:col>
      <xdr:colOff>257175</xdr:colOff>
      <xdr:row>4</xdr:row>
      <xdr:rowOff>409575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276225"/>
          <a:ext cx="1190625" cy="8001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57150</xdr:rowOff>
    </xdr:from>
    <xdr:to>
      <xdr:col>1</xdr:col>
      <xdr:colOff>200025</xdr:colOff>
      <xdr:row>3</xdr:row>
      <xdr:rowOff>238125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57150"/>
          <a:ext cx="923925" cy="7810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85726</xdr:rowOff>
    </xdr:from>
    <xdr:to>
      <xdr:col>1</xdr:col>
      <xdr:colOff>657225</xdr:colOff>
      <xdr:row>1</xdr:row>
      <xdr:rowOff>599018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1" y="85726"/>
          <a:ext cx="1009649" cy="704850"/>
        </a:xfrm>
        <a:prstGeom prst="rect">
          <a:avLst/>
        </a:prstGeom>
      </xdr:spPr>
    </xdr:pic>
    <xdr:clientData/>
  </xdr:twoCellAnchor>
  <xdr:twoCellAnchor editAs="oneCell">
    <xdr:from>
      <xdr:col>8</xdr:col>
      <xdr:colOff>10584</xdr:colOff>
      <xdr:row>0</xdr:row>
      <xdr:rowOff>84667</xdr:rowOff>
    </xdr:from>
    <xdr:to>
      <xdr:col>8</xdr:col>
      <xdr:colOff>994832</xdr:colOff>
      <xdr:row>1</xdr:row>
      <xdr:rowOff>645583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89334" y="84667"/>
          <a:ext cx="984248" cy="75141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2</xdr:row>
      <xdr:rowOff>142875</xdr:rowOff>
    </xdr:from>
    <xdr:to>
      <xdr:col>1</xdr:col>
      <xdr:colOff>638176</xdr:colOff>
      <xdr:row>4</xdr:row>
      <xdr:rowOff>28575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1" y="485775"/>
          <a:ext cx="952500" cy="666750"/>
        </a:xfrm>
        <a:prstGeom prst="rect">
          <a:avLst/>
        </a:prstGeom>
      </xdr:spPr>
    </xdr:pic>
    <xdr:clientData/>
  </xdr:twoCellAnchor>
  <xdr:oneCellAnchor>
    <xdr:from>
      <xdr:col>1</xdr:col>
      <xdr:colOff>200025</xdr:colOff>
      <xdr:row>34</xdr:row>
      <xdr:rowOff>76200</xdr:rowOff>
    </xdr:from>
    <xdr:ext cx="2114550" cy="561976"/>
    <xdr:sp macro="" textlink="">
      <xdr:nvSpPr>
        <xdr:cNvPr id="3" name="CaixaDeTexto 2"/>
        <xdr:cNvSpPr txBox="1"/>
      </xdr:nvSpPr>
      <xdr:spPr>
        <a:xfrm>
          <a:off x="628650" y="5705475"/>
          <a:ext cx="2114550" cy="5619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pt-BR" sz="800">
              <a:latin typeface="Arial" pitchFamily="34" charset="0"/>
              <a:cs typeface="Arial" pitchFamily="34" charset="0"/>
            </a:rPr>
            <a:t>Engª civil Vanessa M. de C. Faria</a:t>
          </a:r>
          <a:br>
            <a:rPr lang="pt-BR" sz="800">
              <a:latin typeface="Arial" pitchFamily="34" charset="0"/>
              <a:cs typeface="Arial" pitchFamily="34" charset="0"/>
            </a:rPr>
          </a:br>
          <a:r>
            <a:rPr lang="pt-BR" sz="800">
              <a:latin typeface="Arial" pitchFamily="34" charset="0"/>
              <a:cs typeface="Arial" pitchFamily="34" charset="0"/>
            </a:rPr>
            <a:t>Diretora da Unidade Técnica</a:t>
          </a:r>
          <a:br>
            <a:rPr lang="pt-BR" sz="800">
              <a:latin typeface="Arial" pitchFamily="34" charset="0"/>
              <a:cs typeface="Arial" pitchFamily="34" charset="0"/>
            </a:rPr>
          </a:br>
          <a:r>
            <a:rPr lang="pt-BR" sz="800">
              <a:latin typeface="Arial" pitchFamily="34" charset="0"/>
              <a:cs typeface="Arial" pitchFamily="34" charset="0"/>
            </a:rPr>
            <a:t>CREA/SP 506.078.329-7</a:t>
          </a:r>
        </a:p>
      </xdr:txBody>
    </xdr:sp>
    <xdr:clientData/>
  </xdr:oneCellAnchor>
  <xdr:oneCellAnchor>
    <xdr:from>
      <xdr:col>1</xdr:col>
      <xdr:colOff>2428875</xdr:colOff>
      <xdr:row>34</xdr:row>
      <xdr:rowOff>76200</xdr:rowOff>
    </xdr:from>
    <xdr:ext cx="2114550" cy="561976"/>
    <xdr:sp macro="" textlink="">
      <xdr:nvSpPr>
        <xdr:cNvPr id="4" name="CaixaDeTexto 3"/>
        <xdr:cNvSpPr txBox="1"/>
      </xdr:nvSpPr>
      <xdr:spPr>
        <a:xfrm>
          <a:off x="2857500" y="5705475"/>
          <a:ext cx="2114550" cy="5619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pt-BR" sz="800">
              <a:latin typeface="Arial" pitchFamily="34" charset="0"/>
              <a:cs typeface="Arial" pitchFamily="34" charset="0"/>
            </a:rPr>
            <a:t>Engª civil Vitória Carolino Messias </a:t>
          </a:r>
        </a:p>
        <a:p>
          <a:pPr algn="ctr"/>
          <a:r>
            <a:rPr lang="pt-BR" sz="800">
              <a:latin typeface="Arial" pitchFamily="34" charset="0"/>
              <a:cs typeface="Arial" pitchFamily="34" charset="0"/>
            </a:rPr>
            <a:t>Assessora da Sup. - Unidade Técnica</a:t>
          </a:r>
        </a:p>
        <a:p>
          <a:pPr algn="ctr"/>
          <a:r>
            <a:rPr lang="pt-BR" sz="800">
              <a:latin typeface="Arial" pitchFamily="34" charset="0"/>
              <a:cs typeface="Arial" pitchFamily="34" charset="0"/>
            </a:rPr>
            <a:t>CREA-SP 507.101.172-7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rcamento\Or&#231;amentos\2022\Or&#231;amentos\P_009820_21_Substitui&#231;&#227;o%20de%20Rede%20de%20&#193;gua%20Frezzarin\Or&#231;%20Substitui&#231;ao%20de%20Redes%20de%20Agua%20e%20Liga&#231;&#245;es%20Vila%20Frezzarin%202021%20-%20rev%20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Jd S Pedro e V Sta Catarina"/>
      <sheetName val="Frezarim"/>
      <sheetName val="LM"/>
      <sheetName val="Composições"/>
      <sheetName val="Cronograma"/>
      <sheetName val="Energia"/>
    </sheetNames>
    <sheetDataSet>
      <sheetData sheetId="0" refreshError="1"/>
      <sheetData sheetId="1">
        <row r="5">
          <cell r="C5" t="str">
            <v>Orçamento Sintético Global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5"/>
  <sheetViews>
    <sheetView zoomScale="85" zoomScaleNormal="85" zoomScaleSheetLayoutView="100" workbookViewId="0">
      <pane xSplit="4" ySplit="5" topLeftCell="E6" activePane="bottomRight" state="frozen"/>
      <selection activeCell="B109" sqref="B109:F110"/>
      <selection pane="topRight" activeCell="B109" sqref="B109:F110"/>
      <selection pane="bottomLeft" activeCell="B109" sqref="B109:F110"/>
      <selection pane="bottomRight" activeCell="I25" sqref="I25"/>
    </sheetView>
  </sheetViews>
  <sheetFormatPr defaultRowHeight="12.75"/>
  <cols>
    <col min="1" max="1" width="4.42578125" style="13" customWidth="1"/>
    <col min="2" max="2" width="7.28515625" style="13" bestFit="1" customWidth="1"/>
    <col min="3" max="3" width="73.85546875" style="13" bestFit="1" customWidth="1"/>
    <col min="4" max="4" width="19.140625" style="13" bestFit="1" customWidth="1"/>
    <col min="5" max="5" width="14.7109375" style="13" bestFit="1" customWidth="1"/>
    <col min="6" max="6" width="16" style="13" bestFit="1" customWidth="1"/>
    <col min="7" max="7" width="15.85546875" style="13" bestFit="1" customWidth="1"/>
    <col min="8" max="8" width="16" style="13" bestFit="1" customWidth="1"/>
    <col min="9" max="10" width="16.28515625" style="13" bestFit="1" customWidth="1"/>
    <col min="11" max="13" width="16.5703125" style="13" bestFit="1" customWidth="1"/>
    <col min="14" max="14" width="16" style="13" bestFit="1" customWidth="1"/>
    <col min="15" max="15" width="16.5703125" style="13" bestFit="1" customWidth="1"/>
    <col min="16" max="16" width="16.28515625" style="13" bestFit="1" customWidth="1"/>
  </cols>
  <sheetData>
    <row r="1" spans="2:16" ht="13.5" thickBot="1"/>
    <row r="2" spans="2:16" ht="12.75" customHeight="1">
      <c r="B2" s="347"/>
      <c r="C2" s="348"/>
      <c r="D2" s="349"/>
      <c r="E2" s="365" t="s">
        <v>44</v>
      </c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9"/>
    </row>
    <row r="3" spans="2:16" ht="12.75" customHeight="1" thickBot="1">
      <c r="B3" s="350"/>
      <c r="C3" s="351"/>
      <c r="D3" s="352"/>
      <c r="E3" s="366"/>
      <c r="F3" s="351"/>
      <c r="G3" s="351"/>
      <c r="H3" s="351"/>
      <c r="I3" s="351"/>
      <c r="J3" s="351"/>
      <c r="K3" s="351"/>
      <c r="L3" s="351"/>
      <c r="M3" s="351"/>
      <c r="N3" s="351"/>
      <c r="O3" s="351"/>
      <c r="P3" s="352"/>
    </row>
    <row r="4" spans="2:16" ht="13.5" thickBot="1">
      <c r="B4" s="355"/>
      <c r="C4" s="354"/>
      <c r="D4" s="356"/>
      <c r="E4" s="353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6"/>
    </row>
    <row r="5" spans="2:16" ht="13.5" thickBot="1">
      <c r="B5" s="90" t="s">
        <v>1</v>
      </c>
      <c r="C5" s="91" t="s">
        <v>2</v>
      </c>
      <c r="D5" s="92" t="s">
        <v>45</v>
      </c>
      <c r="E5" s="93" t="s">
        <v>46</v>
      </c>
      <c r="F5" s="91" t="s">
        <v>47</v>
      </c>
      <c r="G5" s="91" t="s">
        <v>48</v>
      </c>
      <c r="H5" s="91" t="s">
        <v>49</v>
      </c>
      <c r="I5" s="91" t="s">
        <v>50</v>
      </c>
      <c r="J5" s="91" t="s">
        <v>51</v>
      </c>
      <c r="K5" s="91" t="s">
        <v>56</v>
      </c>
      <c r="L5" s="91" t="s">
        <v>57</v>
      </c>
      <c r="M5" s="91" t="s">
        <v>58</v>
      </c>
      <c r="N5" s="91" t="s">
        <v>59</v>
      </c>
      <c r="O5" s="91" t="s">
        <v>60</v>
      </c>
      <c r="P5" s="92" t="s">
        <v>61</v>
      </c>
    </row>
    <row r="6" spans="2:16">
      <c r="B6" s="368" t="s">
        <v>0</v>
      </c>
      <c r="C6" s="369" t="s">
        <v>14</v>
      </c>
      <c r="D6" s="371" t="e">
        <f>#REF!</f>
        <v>#REF!</v>
      </c>
      <c r="E6" s="88" t="e">
        <f>$E$7/$D$6</f>
        <v>#REF!</v>
      </c>
      <c r="F6" s="76" t="e">
        <f t="shared" ref="F6:O6" si="0">$E$7/$D$6</f>
        <v>#REF!</v>
      </c>
      <c r="G6" s="76" t="e">
        <f t="shared" si="0"/>
        <v>#REF!</v>
      </c>
      <c r="H6" s="76" t="e">
        <f t="shared" si="0"/>
        <v>#REF!</v>
      </c>
      <c r="I6" s="76" t="e">
        <f t="shared" si="0"/>
        <v>#REF!</v>
      </c>
      <c r="J6" s="76" t="e">
        <f t="shared" si="0"/>
        <v>#REF!</v>
      </c>
      <c r="K6" s="76" t="e">
        <f t="shared" si="0"/>
        <v>#REF!</v>
      </c>
      <c r="L6" s="76" t="e">
        <f t="shared" si="0"/>
        <v>#REF!</v>
      </c>
      <c r="M6" s="76" t="e">
        <f t="shared" si="0"/>
        <v>#REF!</v>
      </c>
      <c r="N6" s="76" t="e">
        <f t="shared" si="0"/>
        <v>#REF!</v>
      </c>
      <c r="O6" s="76" t="e">
        <f t="shared" si="0"/>
        <v>#REF!</v>
      </c>
      <c r="P6" s="89" t="e">
        <f>$E$7/$D$6</f>
        <v>#REF!</v>
      </c>
    </row>
    <row r="7" spans="2:16">
      <c r="B7" s="367"/>
      <c r="C7" s="370"/>
      <c r="D7" s="372"/>
      <c r="E7" s="72" t="e">
        <f>$D$6/12</f>
        <v>#REF!</v>
      </c>
      <c r="F7" s="72" t="e">
        <f t="shared" ref="F7:P7" si="1">$D$6/12</f>
        <v>#REF!</v>
      </c>
      <c r="G7" s="72" t="e">
        <f t="shared" si="1"/>
        <v>#REF!</v>
      </c>
      <c r="H7" s="72" t="e">
        <f t="shared" si="1"/>
        <v>#REF!</v>
      </c>
      <c r="I7" s="72" t="e">
        <f t="shared" si="1"/>
        <v>#REF!</v>
      </c>
      <c r="J7" s="72" t="e">
        <f t="shared" si="1"/>
        <v>#REF!</v>
      </c>
      <c r="K7" s="72" t="e">
        <f t="shared" si="1"/>
        <v>#REF!</v>
      </c>
      <c r="L7" s="72" t="e">
        <f t="shared" si="1"/>
        <v>#REF!</v>
      </c>
      <c r="M7" s="72" t="e">
        <f t="shared" si="1"/>
        <v>#REF!</v>
      </c>
      <c r="N7" s="72" t="e">
        <f t="shared" si="1"/>
        <v>#REF!</v>
      </c>
      <c r="O7" s="72" t="e">
        <f t="shared" si="1"/>
        <v>#REF!</v>
      </c>
      <c r="P7" s="100" t="e">
        <f t="shared" si="1"/>
        <v>#REF!</v>
      </c>
    </row>
    <row r="8" spans="2:16">
      <c r="B8" s="367" t="s">
        <v>7</v>
      </c>
      <c r="C8" s="374" t="s">
        <v>66</v>
      </c>
      <c r="D8" s="373"/>
      <c r="E8" s="71" t="e">
        <f>$E$7/$D$6</f>
        <v>#REF!</v>
      </c>
      <c r="F8" s="14" t="e">
        <f t="shared" ref="F8:G8" si="2">$E$7/$D$6</f>
        <v>#REF!</v>
      </c>
      <c r="G8" s="14" t="e">
        <f t="shared" si="2"/>
        <v>#REF!</v>
      </c>
      <c r="H8" s="14" t="e">
        <f t="shared" ref="H8:P8" si="3">$E$9/$D$8</f>
        <v>#DIV/0!</v>
      </c>
      <c r="I8" s="14" t="e">
        <f t="shared" si="3"/>
        <v>#DIV/0!</v>
      </c>
      <c r="J8" s="14" t="e">
        <f t="shared" si="3"/>
        <v>#DIV/0!</v>
      </c>
      <c r="K8" s="14" t="e">
        <f t="shared" si="3"/>
        <v>#DIV/0!</v>
      </c>
      <c r="L8" s="14" t="e">
        <f t="shared" si="3"/>
        <v>#DIV/0!</v>
      </c>
      <c r="M8" s="14" t="e">
        <f t="shared" si="3"/>
        <v>#DIV/0!</v>
      </c>
      <c r="N8" s="14" t="e">
        <f t="shared" si="3"/>
        <v>#DIV/0!</v>
      </c>
      <c r="O8" s="14" t="e">
        <f t="shared" si="3"/>
        <v>#DIV/0!</v>
      </c>
      <c r="P8" s="15" t="e">
        <f t="shared" si="3"/>
        <v>#DIV/0!</v>
      </c>
    </row>
    <row r="9" spans="2:16">
      <c r="B9" s="367"/>
      <c r="C9" s="374" t="s">
        <v>66</v>
      </c>
      <c r="D9" s="373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100"/>
    </row>
    <row r="10" spans="2:16">
      <c r="B10" s="367" t="s">
        <v>16</v>
      </c>
      <c r="C10" s="357" t="s">
        <v>67</v>
      </c>
      <c r="D10" s="364" t="e">
        <f>#REF!</f>
        <v>#REF!</v>
      </c>
      <c r="E10" s="71" t="e">
        <f>$E$7/$D$6</f>
        <v>#REF!</v>
      </c>
      <c r="F10" s="14" t="e">
        <f t="shared" ref="F10:P18" si="4">$E$7/$D$6</f>
        <v>#REF!</v>
      </c>
      <c r="G10" s="14" t="e">
        <f t="shared" si="4"/>
        <v>#REF!</v>
      </c>
      <c r="H10" s="14" t="e">
        <f t="shared" si="4"/>
        <v>#REF!</v>
      </c>
      <c r="I10" s="14" t="e">
        <f t="shared" si="4"/>
        <v>#REF!</v>
      </c>
      <c r="J10" s="14" t="e">
        <f t="shared" si="4"/>
        <v>#REF!</v>
      </c>
      <c r="K10" s="14" t="e">
        <f t="shared" si="4"/>
        <v>#REF!</v>
      </c>
      <c r="L10" s="14" t="e">
        <f t="shared" si="4"/>
        <v>#REF!</v>
      </c>
      <c r="M10" s="14" t="e">
        <f t="shared" si="4"/>
        <v>#REF!</v>
      </c>
      <c r="N10" s="14" t="e">
        <f t="shared" si="4"/>
        <v>#REF!</v>
      </c>
      <c r="O10" s="14" t="e">
        <f t="shared" si="4"/>
        <v>#REF!</v>
      </c>
      <c r="P10" s="15" t="e">
        <f t="shared" si="4"/>
        <v>#REF!</v>
      </c>
    </row>
    <row r="11" spans="2:16">
      <c r="B11" s="367"/>
      <c r="C11" s="357"/>
      <c r="D11" s="364"/>
      <c r="E11" s="72" t="e">
        <f>$D$10/12</f>
        <v>#REF!</v>
      </c>
      <c r="F11" s="72" t="e">
        <f t="shared" ref="F11:P11" si="5">$D$10/12</f>
        <v>#REF!</v>
      </c>
      <c r="G11" s="72" t="e">
        <f t="shared" si="5"/>
        <v>#REF!</v>
      </c>
      <c r="H11" s="72" t="e">
        <f t="shared" si="5"/>
        <v>#REF!</v>
      </c>
      <c r="I11" s="72" t="e">
        <f t="shared" si="5"/>
        <v>#REF!</v>
      </c>
      <c r="J11" s="72" t="e">
        <f t="shared" si="5"/>
        <v>#REF!</v>
      </c>
      <c r="K11" s="72" t="e">
        <f t="shared" si="5"/>
        <v>#REF!</v>
      </c>
      <c r="L11" s="72" t="e">
        <f t="shared" si="5"/>
        <v>#REF!</v>
      </c>
      <c r="M11" s="72" t="e">
        <f t="shared" si="5"/>
        <v>#REF!</v>
      </c>
      <c r="N11" s="72" t="e">
        <f t="shared" si="5"/>
        <v>#REF!</v>
      </c>
      <c r="O11" s="72" t="e">
        <f t="shared" si="5"/>
        <v>#REF!</v>
      </c>
      <c r="P11" s="100" t="e">
        <f t="shared" si="5"/>
        <v>#REF!</v>
      </c>
    </row>
    <row r="12" spans="2:16">
      <c r="B12" s="363" t="s">
        <v>10</v>
      </c>
      <c r="C12" s="357" t="e">
        <f>#REF!</f>
        <v>#REF!</v>
      </c>
      <c r="D12" s="364" t="e">
        <f>#REF!</f>
        <v>#REF!</v>
      </c>
      <c r="E12" s="71" t="e">
        <f>$E$7/$D$6</f>
        <v>#REF!</v>
      </c>
      <c r="F12" s="14" t="e">
        <f t="shared" si="4"/>
        <v>#REF!</v>
      </c>
      <c r="G12" s="14" t="e">
        <f t="shared" si="4"/>
        <v>#REF!</v>
      </c>
      <c r="H12" s="14" t="e">
        <f t="shared" si="4"/>
        <v>#REF!</v>
      </c>
      <c r="I12" s="14" t="e">
        <f t="shared" si="4"/>
        <v>#REF!</v>
      </c>
      <c r="J12" s="14" t="e">
        <f t="shared" si="4"/>
        <v>#REF!</v>
      </c>
      <c r="K12" s="14" t="e">
        <f t="shared" si="4"/>
        <v>#REF!</v>
      </c>
      <c r="L12" s="14" t="e">
        <f t="shared" si="4"/>
        <v>#REF!</v>
      </c>
      <c r="M12" s="14" t="e">
        <f t="shared" si="4"/>
        <v>#REF!</v>
      </c>
      <c r="N12" s="14" t="e">
        <f t="shared" si="4"/>
        <v>#REF!</v>
      </c>
      <c r="O12" s="14" t="e">
        <f t="shared" si="4"/>
        <v>#REF!</v>
      </c>
      <c r="P12" s="15" t="e">
        <f t="shared" si="4"/>
        <v>#REF!</v>
      </c>
    </row>
    <row r="13" spans="2:16">
      <c r="B13" s="363"/>
      <c r="C13" s="357"/>
      <c r="D13" s="364"/>
      <c r="E13" s="72" t="e">
        <f>$D$12/12</f>
        <v>#REF!</v>
      </c>
      <c r="F13" s="72" t="e">
        <f t="shared" ref="F13:P13" si="6">$D$12/12</f>
        <v>#REF!</v>
      </c>
      <c r="G13" s="72" t="e">
        <f t="shared" si="6"/>
        <v>#REF!</v>
      </c>
      <c r="H13" s="72" t="e">
        <f t="shared" si="6"/>
        <v>#REF!</v>
      </c>
      <c r="I13" s="72" t="e">
        <f t="shared" si="6"/>
        <v>#REF!</v>
      </c>
      <c r="J13" s="72" t="e">
        <f t="shared" si="6"/>
        <v>#REF!</v>
      </c>
      <c r="K13" s="72" t="e">
        <f t="shared" si="6"/>
        <v>#REF!</v>
      </c>
      <c r="L13" s="72" t="e">
        <f t="shared" si="6"/>
        <v>#REF!</v>
      </c>
      <c r="M13" s="72" t="e">
        <f t="shared" si="6"/>
        <v>#REF!</v>
      </c>
      <c r="N13" s="72" t="e">
        <f t="shared" si="6"/>
        <v>#REF!</v>
      </c>
      <c r="O13" s="72" t="e">
        <f t="shared" si="6"/>
        <v>#REF!</v>
      </c>
      <c r="P13" s="100" t="e">
        <f t="shared" si="6"/>
        <v>#REF!</v>
      </c>
    </row>
    <row r="14" spans="2:16">
      <c r="B14" s="363" t="s">
        <v>11</v>
      </c>
      <c r="C14" s="357" t="e">
        <f ca="1">_xlfn.SINGLE(#REF!)</f>
        <v>#NAME?</v>
      </c>
      <c r="D14" s="364" t="e">
        <f>#REF!</f>
        <v>#REF!</v>
      </c>
      <c r="E14" s="71" t="e">
        <f>$E$7/$D$6</f>
        <v>#REF!</v>
      </c>
      <c r="F14" s="14" t="e">
        <f t="shared" si="4"/>
        <v>#REF!</v>
      </c>
      <c r="G14" s="14" t="e">
        <f t="shared" si="4"/>
        <v>#REF!</v>
      </c>
      <c r="H14" s="14" t="e">
        <f t="shared" si="4"/>
        <v>#REF!</v>
      </c>
      <c r="I14" s="14" t="e">
        <f t="shared" si="4"/>
        <v>#REF!</v>
      </c>
      <c r="J14" s="14" t="e">
        <f t="shared" si="4"/>
        <v>#REF!</v>
      </c>
      <c r="K14" s="14" t="e">
        <f t="shared" si="4"/>
        <v>#REF!</v>
      </c>
      <c r="L14" s="14" t="e">
        <f t="shared" si="4"/>
        <v>#REF!</v>
      </c>
      <c r="M14" s="14" t="e">
        <f t="shared" si="4"/>
        <v>#REF!</v>
      </c>
      <c r="N14" s="14" t="e">
        <f t="shared" si="4"/>
        <v>#REF!</v>
      </c>
      <c r="O14" s="14" t="e">
        <f t="shared" si="4"/>
        <v>#REF!</v>
      </c>
      <c r="P14" s="15" t="e">
        <f t="shared" si="4"/>
        <v>#REF!</v>
      </c>
    </row>
    <row r="15" spans="2:16">
      <c r="B15" s="363"/>
      <c r="C15" s="357"/>
      <c r="D15" s="364"/>
      <c r="E15" s="72" t="e">
        <f>$D$14/12</f>
        <v>#REF!</v>
      </c>
      <c r="F15" s="72" t="e">
        <f t="shared" ref="F15:P15" si="7">$D$14/12</f>
        <v>#REF!</v>
      </c>
      <c r="G15" s="72" t="e">
        <f t="shared" si="7"/>
        <v>#REF!</v>
      </c>
      <c r="H15" s="72" t="e">
        <f t="shared" si="7"/>
        <v>#REF!</v>
      </c>
      <c r="I15" s="72" t="e">
        <f t="shared" si="7"/>
        <v>#REF!</v>
      </c>
      <c r="J15" s="72" t="e">
        <f t="shared" si="7"/>
        <v>#REF!</v>
      </c>
      <c r="K15" s="72" t="e">
        <f t="shared" si="7"/>
        <v>#REF!</v>
      </c>
      <c r="L15" s="72" t="e">
        <f t="shared" si="7"/>
        <v>#REF!</v>
      </c>
      <c r="M15" s="72" t="e">
        <f t="shared" si="7"/>
        <v>#REF!</v>
      </c>
      <c r="N15" s="72" t="e">
        <f t="shared" si="7"/>
        <v>#REF!</v>
      </c>
      <c r="O15" s="72" t="e">
        <f t="shared" si="7"/>
        <v>#REF!</v>
      </c>
      <c r="P15" s="100" t="e">
        <f t="shared" si="7"/>
        <v>#REF!</v>
      </c>
    </row>
    <row r="16" spans="2:16">
      <c r="B16" s="363" t="s">
        <v>12</v>
      </c>
      <c r="C16" s="357" t="e">
        <f ca="1">_xlfn.SINGLE(#REF!)</f>
        <v>#NAME?</v>
      </c>
      <c r="D16" s="364" t="e">
        <f>#REF!</f>
        <v>#REF!</v>
      </c>
      <c r="E16" s="71" t="e">
        <f>$E$7/$D$6</f>
        <v>#REF!</v>
      </c>
      <c r="F16" s="14" t="e">
        <f t="shared" si="4"/>
        <v>#REF!</v>
      </c>
      <c r="G16" s="14" t="e">
        <f t="shared" si="4"/>
        <v>#REF!</v>
      </c>
      <c r="H16" s="14" t="e">
        <f t="shared" si="4"/>
        <v>#REF!</v>
      </c>
      <c r="I16" s="14" t="e">
        <f t="shared" si="4"/>
        <v>#REF!</v>
      </c>
      <c r="J16" s="14" t="e">
        <f t="shared" si="4"/>
        <v>#REF!</v>
      </c>
      <c r="K16" s="14" t="e">
        <f t="shared" si="4"/>
        <v>#REF!</v>
      </c>
      <c r="L16" s="14" t="e">
        <f t="shared" si="4"/>
        <v>#REF!</v>
      </c>
      <c r="M16" s="14" t="e">
        <f t="shared" si="4"/>
        <v>#REF!</v>
      </c>
      <c r="N16" s="14" t="e">
        <f t="shared" si="4"/>
        <v>#REF!</v>
      </c>
      <c r="O16" s="14" t="e">
        <f t="shared" si="4"/>
        <v>#REF!</v>
      </c>
      <c r="P16" s="15" t="e">
        <f t="shared" si="4"/>
        <v>#REF!</v>
      </c>
    </row>
    <row r="17" spans="2:16">
      <c r="B17" s="363"/>
      <c r="C17" s="357"/>
      <c r="D17" s="364"/>
      <c r="E17" s="72" t="e">
        <f>$D$16/12</f>
        <v>#REF!</v>
      </c>
      <c r="F17" s="72" t="e">
        <f t="shared" ref="F17:P17" si="8">$D$16/12</f>
        <v>#REF!</v>
      </c>
      <c r="G17" s="72" t="e">
        <f t="shared" si="8"/>
        <v>#REF!</v>
      </c>
      <c r="H17" s="72" t="e">
        <f t="shared" si="8"/>
        <v>#REF!</v>
      </c>
      <c r="I17" s="72" t="e">
        <f t="shared" si="8"/>
        <v>#REF!</v>
      </c>
      <c r="J17" s="72" t="e">
        <f t="shared" si="8"/>
        <v>#REF!</v>
      </c>
      <c r="K17" s="72" t="e">
        <f t="shared" si="8"/>
        <v>#REF!</v>
      </c>
      <c r="L17" s="72" t="e">
        <f t="shared" si="8"/>
        <v>#REF!</v>
      </c>
      <c r="M17" s="72" t="e">
        <f t="shared" si="8"/>
        <v>#REF!</v>
      </c>
      <c r="N17" s="72" t="e">
        <f t="shared" si="8"/>
        <v>#REF!</v>
      </c>
      <c r="O17" s="72" t="e">
        <f t="shared" si="8"/>
        <v>#REF!</v>
      </c>
      <c r="P17" s="100" t="e">
        <f t="shared" si="8"/>
        <v>#REF!</v>
      </c>
    </row>
    <row r="18" spans="2:16" ht="13.5" thickBot="1">
      <c r="B18" s="358" t="s">
        <v>13</v>
      </c>
      <c r="C18" s="359"/>
      <c r="D18" s="87" t="e">
        <f>SUM(D6:D17)</f>
        <v>#REF!</v>
      </c>
      <c r="E18" s="86" t="e">
        <f>$E$7/$D$6</f>
        <v>#REF!</v>
      </c>
      <c r="F18" s="78" t="e">
        <f t="shared" si="4"/>
        <v>#REF!</v>
      </c>
      <c r="G18" s="78" t="e">
        <f t="shared" si="4"/>
        <v>#REF!</v>
      </c>
      <c r="H18" s="78" t="e">
        <f t="shared" si="4"/>
        <v>#REF!</v>
      </c>
      <c r="I18" s="78" t="e">
        <f t="shared" si="4"/>
        <v>#REF!</v>
      </c>
      <c r="J18" s="78" t="e">
        <f t="shared" si="4"/>
        <v>#REF!</v>
      </c>
      <c r="K18" s="78" t="e">
        <f t="shared" si="4"/>
        <v>#REF!</v>
      </c>
      <c r="L18" s="78" t="e">
        <f t="shared" si="4"/>
        <v>#REF!</v>
      </c>
      <c r="M18" s="78" t="e">
        <f t="shared" si="4"/>
        <v>#REF!</v>
      </c>
      <c r="N18" s="78" t="e">
        <f t="shared" si="4"/>
        <v>#REF!</v>
      </c>
      <c r="O18" s="78" t="e">
        <f t="shared" si="4"/>
        <v>#REF!</v>
      </c>
      <c r="P18" s="79" t="e">
        <f t="shared" si="4"/>
        <v>#REF!</v>
      </c>
    </row>
    <row r="19" spans="2:16">
      <c r="B19" s="360" t="s">
        <v>52</v>
      </c>
      <c r="C19" s="361"/>
      <c r="D19" s="362"/>
      <c r="E19" s="82" t="e">
        <f>SUM(E7+E9+E11+E13+E15+E17)</f>
        <v>#REF!</v>
      </c>
      <c r="F19" s="80" t="e">
        <f>SUM(F7,F9,F11,F13,F15,F17)</f>
        <v>#REF!</v>
      </c>
      <c r="G19" s="80" t="e">
        <f t="shared" ref="G19:P19" si="9">SUM(G7,G9,G11,G13,G15,G17)</f>
        <v>#REF!</v>
      </c>
      <c r="H19" s="80" t="e">
        <f t="shared" si="9"/>
        <v>#REF!</v>
      </c>
      <c r="I19" s="80" t="e">
        <f t="shared" si="9"/>
        <v>#REF!</v>
      </c>
      <c r="J19" s="80" t="e">
        <f t="shared" si="9"/>
        <v>#REF!</v>
      </c>
      <c r="K19" s="80" t="e">
        <f t="shared" si="9"/>
        <v>#REF!</v>
      </c>
      <c r="L19" s="80" t="e">
        <f t="shared" si="9"/>
        <v>#REF!</v>
      </c>
      <c r="M19" s="80" t="e">
        <f t="shared" si="9"/>
        <v>#REF!</v>
      </c>
      <c r="N19" s="80" t="e">
        <f t="shared" si="9"/>
        <v>#REF!</v>
      </c>
      <c r="O19" s="80" t="e">
        <f t="shared" si="9"/>
        <v>#REF!</v>
      </c>
      <c r="P19" s="81" t="e">
        <f t="shared" si="9"/>
        <v>#REF!</v>
      </c>
    </row>
    <row r="20" spans="2:16">
      <c r="B20" s="338" t="s">
        <v>53</v>
      </c>
      <c r="C20" s="339"/>
      <c r="D20" s="340"/>
      <c r="E20" s="83" t="e">
        <f>E19</f>
        <v>#REF!</v>
      </c>
      <c r="F20" s="11" t="e">
        <f>F19+E20</f>
        <v>#REF!</v>
      </c>
      <c r="G20" s="11" t="e">
        <f>G19+F20</f>
        <v>#REF!</v>
      </c>
      <c r="H20" s="11" t="e">
        <f t="shared" ref="H20:P20" si="10">H19+G20</f>
        <v>#REF!</v>
      </c>
      <c r="I20" s="11" t="e">
        <f t="shared" si="10"/>
        <v>#REF!</v>
      </c>
      <c r="J20" s="11" t="e">
        <f t="shared" si="10"/>
        <v>#REF!</v>
      </c>
      <c r="K20" s="11" t="e">
        <f t="shared" si="10"/>
        <v>#REF!</v>
      </c>
      <c r="L20" s="11" t="e">
        <f t="shared" si="10"/>
        <v>#REF!</v>
      </c>
      <c r="M20" s="11" t="e">
        <f t="shared" si="10"/>
        <v>#REF!</v>
      </c>
      <c r="N20" s="11" t="e">
        <f t="shared" si="10"/>
        <v>#REF!</v>
      </c>
      <c r="O20" s="11" t="e">
        <f t="shared" si="10"/>
        <v>#REF!</v>
      </c>
      <c r="P20" s="74" t="e">
        <f t="shared" si="10"/>
        <v>#REF!</v>
      </c>
    </row>
    <row r="21" spans="2:16">
      <c r="B21" s="341" t="s">
        <v>54</v>
      </c>
      <c r="C21" s="342"/>
      <c r="D21" s="343"/>
      <c r="E21" s="84">
        <v>8.3299999999999999E-2</v>
      </c>
      <c r="F21" s="12">
        <v>8.3299999999999999E-2</v>
      </c>
      <c r="G21" s="12">
        <v>8.3299999999999999E-2</v>
      </c>
      <c r="H21" s="12">
        <v>8.3299999999999999E-2</v>
      </c>
      <c r="I21" s="12">
        <v>8.3299999999999999E-2</v>
      </c>
      <c r="J21" s="12">
        <v>8.3299999999999999E-2</v>
      </c>
      <c r="K21" s="12">
        <v>8.3299999999999999E-2</v>
      </c>
      <c r="L21" s="12">
        <v>8.3299999999999999E-2</v>
      </c>
      <c r="M21" s="12">
        <v>8.3299999999999999E-2</v>
      </c>
      <c r="N21" s="12">
        <v>8.3299999999999999E-2</v>
      </c>
      <c r="O21" s="12">
        <v>8.3299999999999999E-2</v>
      </c>
      <c r="P21" s="77">
        <v>8.3299999999999999E-2</v>
      </c>
    </row>
    <row r="22" spans="2:16" ht="13.5" thickBot="1">
      <c r="B22" s="344" t="s">
        <v>55</v>
      </c>
      <c r="C22" s="345"/>
      <c r="D22" s="346"/>
      <c r="E22" s="85">
        <v>8.3299999999999999E-2</v>
      </c>
      <c r="F22" s="16">
        <f>E22+F21</f>
        <v>0.1666</v>
      </c>
      <c r="G22" s="16">
        <f t="shared" ref="G22:H22" si="11">F22+G21</f>
        <v>0.24990000000000001</v>
      </c>
      <c r="H22" s="16">
        <f t="shared" si="11"/>
        <v>0.3332</v>
      </c>
      <c r="I22" s="16">
        <f t="shared" ref="I22" si="12">H22+I21</f>
        <v>0.41649999999999998</v>
      </c>
      <c r="J22" s="16">
        <f t="shared" ref="J22" si="13">I22+J21</f>
        <v>0.49979999999999997</v>
      </c>
      <c r="K22" s="16">
        <f t="shared" ref="K22" si="14">J22+K21</f>
        <v>0.58309999999999995</v>
      </c>
      <c r="L22" s="16">
        <f t="shared" ref="L22" si="15">K22+L21</f>
        <v>0.66639999999999999</v>
      </c>
      <c r="M22" s="16">
        <f t="shared" ref="M22" si="16">L22+M21</f>
        <v>0.74970000000000003</v>
      </c>
      <c r="N22" s="16">
        <f t="shared" ref="N22" si="17">M22+N21</f>
        <v>0.83300000000000007</v>
      </c>
      <c r="O22" s="16">
        <f t="shared" ref="O22" si="18">N22+O21</f>
        <v>0.91630000000000011</v>
      </c>
      <c r="P22" s="75">
        <f t="shared" ref="P22" si="19">O22+P21</f>
        <v>0.99960000000000016</v>
      </c>
    </row>
    <row r="23" spans="2:16">
      <c r="H23" s="94"/>
      <c r="J23" s="96"/>
    </row>
    <row r="24" spans="2:16">
      <c r="H24" s="94"/>
    </row>
    <row r="27" spans="2:16">
      <c r="H27" s="95"/>
      <c r="I27" s="95"/>
    </row>
    <row r="28" spans="2:16">
      <c r="H28" s="94"/>
      <c r="I28" s="94"/>
    </row>
    <row r="29" spans="2:16">
      <c r="H29" s="94"/>
      <c r="I29" s="97"/>
    </row>
    <row r="30" spans="2:16">
      <c r="H30" s="94"/>
      <c r="I30" s="94"/>
    </row>
    <row r="31" spans="2:16">
      <c r="H31" s="94"/>
      <c r="I31" s="98"/>
    </row>
    <row r="32" spans="2:16">
      <c r="H32" s="94"/>
      <c r="I32" s="98"/>
    </row>
    <row r="33" spans="8:9">
      <c r="H33" s="94"/>
      <c r="I33" s="99"/>
    </row>
    <row r="34" spans="8:9">
      <c r="H34" s="94"/>
      <c r="I34" s="96"/>
    </row>
    <row r="35" spans="8:9">
      <c r="H35" s="94"/>
    </row>
  </sheetData>
  <mergeCells count="28">
    <mergeCell ref="C14:C15"/>
    <mergeCell ref="K4:P4"/>
    <mergeCell ref="E2:P3"/>
    <mergeCell ref="C10:C11"/>
    <mergeCell ref="B10:B11"/>
    <mergeCell ref="D10:D11"/>
    <mergeCell ref="B6:B7"/>
    <mergeCell ref="C6:C7"/>
    <mergeCell ref="D6:D7"/>
    <mergeCell ref="D8:D9"/>
    <mergeCell ref="B8:B9"/>
    <mergeCell ref="C8:C9"/>
    <mergeCell ref="B20:D20"/>
    <mergeCell ref="B21:D21"/>
    <mergeCell ref="B22:D22"/>
    <mergeCell ref="B2:D3"/>
    <mergeCell ref="E4:J4"/>
    <mergeCell ref="B4:D4"/>
    <mergeCell ref="C12:C13"/>
    <mergeCell ref="B18:C18"/>
    <mergeCell ref="B19:D19"/>
    <mergeCell ref="B12:B13"/>
    <mergeCell ref="D12:D13"/>
    <mergeCell ref="D14:D15"/>
    <mergeCell ref="C16:C17"/>
    <mergeCell ref="D16:D17"/>
    <mergeCell ref="B14:B15"/>
    <mergeCell ref="B16:B17"/>
  </mergeCells>
  <phoneticPr fontId="9" type="noConversion"/>
  <pageMargins left="0.23622047244094491" right="0.23622047244094491" top="0.74803149606299213" bottom="0.74803149606299213" header="0.31496062992125984" footer="0.31496062992125984"/>
  <pageSetup paperSize="9" scale="48" orientation="landscape" r:id="rId1"/>
  <headerFooter>
    <oddFooter>&amp;LENGENHARIA&amp;C&amp;F&amp;R&amp;D  &amp;T</oddFooter>
  </headerFooter>
  <ignoredErrors>
    <ignoredError sqref="E5:P8 E10:P1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10"/>
  <sheetViews>
    <sheetView zoomScaleNormal="100" zoomScaleSheetLayoutView="90" workbookViewId="0">
      <selection activeCell="D52" sqref="D52:E53"/>
    </sheetView>
  </sheetViews>
  <sheetFormatPr defaultColWidth="9.140625" defaultRowHeight="12.75"/>
  <cols>
    <col min="1" max="1" width="2.42578125" style="1" customWidth="1"/>
    <col min="2" max="2" width="5.85546875" style="1" customWidth="1"/>
    <col min="3" max="3" width="35.140625" style="1" customWidth="1"/>
    <col min="4" max="6" width="14.140625" style="1" customWidth="1"/>
    <col min="7" max="7" width="19.28515625" style="1" customWidth="1"/>
    <col min="8" max="8" width="6.85546875" style="1" customWidth="1"/>
    <col min="9" max="9" width="9.5703125" style="1" bestFit="1" customWidth="1"/>
    <col min="10" max="10" width="3.85546875" style="1" customWidth="1"/>
    <col min="11" max="16" width="9.140625" style="1"/>
    <col min="17" max="17" width="3.140625" style="1" customWidth="1"/>
    <col min="18" max="16384" width="9.140625" style="1"/>
  </cols>
  <sheetData>
    <row r="1" spans="1:13" ht="13.5" thickBot="1"/>
    <row r="2" spans="1:13" s="6" customFormat="1">
      <c r="A2" s="56"/>
      <c r="B2" s="57"/>
      <c r="C2" s="57"/>
      <c r="D2" s="57"/>
      <c r="E2" s="57"/>
      <c r="F2" s="57"/>
      <c r="G2" s="57"/>
      <c r="H2" s="58"/>
    </row>
    <row r="3" spans="1:13" s="6" customFormat="1" ht="15.75" customHeight="1">
      <c r="A3" s="59"/>
      <c r="B3" s="60"/>
      <c r="C3" s="381" t="s">
        <v>121</v>
      </c>
      <c r="D3" s="381"/>
      <c r="E3" s="381"/>
      <c r="F3" s="381"/>
      <c r="G3" s="381"/>
      <c r="H3" s="382"/>
    </row>
    <row r="4" spans="1:13" s="6" customFormat="1">
      <c r="A4" s="59"/>
      <c r="B4" s="60"/>
      <c r="C4" s="383"/>
      <c r="D4" s="383"/>
      <c r="E4" s="383"/>
      <c r="F4" s="383"/>
      <c r="G4" s="383"/>
      <c r="H4" s="384"/>
    </row>
    <row r="5" spans="1:13" s="6" customFormat="1">
      <c r="A5" s="59"/>
      <c r="B5" s="60"/>
      <c r="C5" s="60"/>
      <c r="D5" s="60"/>
      <c r="E5" s="60"/>
      <c r="F5" s="60"/>
      <c r="G5" s="60"/>
      <c r="H5" s="61"/>
    </row>
    <row r="6" spans="1:13" s="6" customFormat="1">
      <c r="A6" s="59"/>
      <c r="B6" s="60"/>
      <c r="C6" s="60"/>
      <c r="D6" s="60"/>
      <c r="E6" s="60"/>
      <c r="F6" s="60"/>
      <c r="G6" s="60"/>
      <c r="H6" s="61"/>
    </row>
    <row r="7" spans="1:13" s="6" customFormat="1">
      <c r="A7" s="378" t="s">
        <v>43</v>
      </c>
      <c r="B7" s="379"/>
      <c r="C7" s="379"/>
      <c r="D7" s="379"/>
      <c r="E7" s="379"/>
      <c r="F7" s="379"/>
      <c r="G7" s="379"/>
      <c r="H7" s="380"/>
    </row>
    <row r="8" spans="1:13" s="6" customFormat="1">
      <c r="A8" s="378"/>
      <c r="B8" s="379"/>
      <c r="C8" s="379"/>
      <c r="D8" s="379"/>
      <c r="E8" s="379"/>
      <c r="F8" s="379"/>
      <c r="G8" s="379"/>
      <c r="H8" s="380"/>
    </row>
    <row r="9" spans="1:13" ht="13.5" thickBot="1">
      <c r="A9" s="40"/>
      <c r="B9" s="41"/>
      <c r="C9" s="41"/>
      <c r="D9" s="41"/>
      <c r="E9" s="41"/>
      <c r="F9" s="41"/>
      <c r="G9" s="41"/>
      <c r="H9" s="42"/>
    </row>
    <row r="10" spans="1:13" s="3" customFormat="1" ht="13.5" thickBot="1">
      <c r="A10" s="62"/>
      <c r="B10" s="386" t="s">
        <v>42</v>
      </c>
      <c r="C10" s="387"/>
      <c r="D10" s="387"/>
      <c r="E10" s="387"/>
      <c r="F10" s="387"/>
      <c r="G10" s="388"/>
      <c r="H10" s="63"/>
    </row>
    <row r="11" spans="1:13" s="3" customFormat="1" ht="13.5" thickBot="1">
      <c r="A11" s="62"/>
      <c r="B11" s="375"/>
      <c r="C11" s="376"/>
      <c r="D11" s="376"/>
      <c r="E11" s="376"/>
      <c r="F11" s="376"/>
      <c r="G11" s="377"/>
      <c r="H11" s="63"/>
      <c r="M11" s="8"/>
    </row>
    <row r="12" spans="1:13" s="3" customFormat="1" ht="13.5" thickBot="1">
      <c r="A12" s="64"/>
      <c r="B12" s="17"/>
      <c r="C12" s="18" t="s">
        <v>40</v>
      </c>
      <c r="D12" s="17" t="s">
        <v>39</v>
      </c>
      <c r="E12" s="17" t="s">
        <v>38</v>
      </c>
      <c r="F12" s="17" t="s">
        <v>37</v>
      </c>
      <c r="G12" s="46" t="s">
        <v>36</v>
      </c>
      <c r="H12" s="65"/>
      <c r="M12" s="8"/>
    </row>
    <row r="13" spans="1:13" s="3" customFormat="1">
      <c r="A13" s="62"/>
      <c r="B13" s="19" t="s">
        <v>35</v>
      </c>
      <c r="C13" s="20" t="s">
        <v>34</v>
      </c>
      <c r="D13" s="21">
        <v>1.4999999999999999E-2</v>
      </c>
      <c r="E13" s="21">
        <v>3.4500000000000003E-2</v>
      </c>
      <c r="F13" s="21">
        <v>4.4900000000000002E-2</v>
      </c>
      <c r="G13" s="47">
        <v>3.4500000000000003E-2</v>
      </c>
      <c r="H13" s="63"/>
      <c r="I13" s="8"/>
      <c r="K13" s="9"/>
      <c r="M13" s="8"/>
    </row>
    <row r="14" spans="1:13" s="7" customFormat="1">
      <c r="A14" s="62"/>
      <c r="B14" s="22" t="s">
        <v>33</v>
      </c>
      <c r="C14" s="23" t="s">
        <v>32</v>
      </c>
      <c r="D14" s="24">
        <v>3.0000000000000001E-3</v>
      </c>
      <c r="E14" s="24">
        <v>4.7999999999999996E-3</v>
      </c>
      <c r="F14" s="24">
        <v>8.2000000000000007E-3</v>
      </c>
      <c r="G14" s="48">
        <v>4.7999999999999996E-3</v>
      </c>
      <c r="H14" s="63"/>
      <c r="I14" s="8"/>
      <c r="K14" s="9"/>
      <c r="M14" s="10"/>
    </row>
    <row r="15" spans="1:13" s="3" customFormat="1">
      <c r="A15" s="62"/>
      <c r="B15" s="22" t="s">
        <v>31</v>
      </c>
      <c r="C15" s="23" t="s">
        <v>30</v>
      </c>
      <c r="D15" s="24">
        <v>5.5999999999999999E-3</v>
      </c>
      <c r="E15" s="24">
        <v>8.5000000000000006E-3</v>
      </c>
      <c r="F15" s="24">
        <v>8.8999999999999999E-3</v>
      </c>
      <c r="G15" s="48">
        <v>8.5000000000000006E-3</v>
      </c>
      <c r="H15" s="63"/>
      <c r="I15" s="8"/>
      <c r="K15" s="9"/>
      <c r="M15" s="8"/>
    </row>
    <row r="16" spans="1:13" s="3" customFormat="1">
      <c r="A16" s="62"/>
      <c r="B16" s="25" t="s">
        <v>29</v>
      </c>
      <c r="C16" s="26" t="s">
        <v>28</v>
      </c>
      <c r="D16" s="24">
        <v>8.5000000000000006E-3</v>
      </c>
      <c r="E16" s="24">
        <v>8.5000000000000006E-3</v>
      </c>
      <c r="F16" s="24">
        <v>1.11E-2</v>
      </c>
      <c r="G16" s="48">
        <v>8.5000000000000006E-3</v>
      </c>
      <c r="H16" s="63"/>
      <c r="I16" s="8"/>
      <c r="K16" s="9"/>
      <c r="M16" s="8"/>
    </row>
    <row r="17" spans="1:13" s="3" customFormat="1">
      <c r="A17" s="62"/>
      <c r="B17" s="25" t="s">
        <v>17</v>
      </c>
      <c r="C17" s="26" t="s">
        <v>27</v>
      </c>
      <c r="D17" s="24">
        <v>3.5000000000000003E-2</v>
      </c>
      <c r="E17" s="24">
        <v>5.11E-2</v>
      </c>
      <c r="F17" s="24">
        <v>6.2199999999999998E-2</v>
      </c>
      <c r="G17" s="48">
        <v>3.9600000000000003E-2</v>
      </c>
      <c r="H17" s="63"/>
      <c r="I17" s="8"/>
      <c r="K17" s="9"/>
      <c r="M17" s="8"/>
    </row>
    <row r="18" spans="1:13" s="3" customFormat="1">
      <c r="A18" s="62"/>
      <c r="B18" s="25" t="s">
        <v>26</v>
      </c>
      <c r="C18" s="26" t="s">
        <v>25</v>
      </c>
      <c r="D18" s="24">
        <v>3.6499999999999998E-2</v>
      </c>
      <c r="E18" s="24">
        <v>3.6499999999999998E-2</v>
      </c>
      <c r="F18" s="24">
        <v>3.6499999999999998E-2</v>
      </c>
      <c r="G18" s="48">
        <v>3.6499999999999998E-2</v>
      </c>
      <c r="H18" s="63"/>
      <c r="I18" s="8"/>
      <c r="K18" s="9"/>
    </row>
    <row r="19" spans="1:13" s="3" customFormat="1" ht="13.5" thickBot="1">
      <c r="A19" s="62"/>
      <c r="B19" s="27" t="s">
        <v>24</v>
      </c>
      <c r="C19" s="28" t="s">
        <v>23</v>
      </c>
      <c r="D19" s="29">
        <v>0</v>
      </c>
      <c r="E19" s="29">
        <v>0</v>
      </c>
      <c r="F19" s="29">
        <v>0</v>
      </c>
      <c r="G19" s="49">
        <v>0</v>
      </c>
      <c r="H19" s="63"/>
      <c r="I19" s="8"/>
      <c r="K19" s="9"/>
      <c r="M19" s="5"/>
    </row>
    <row r="20" spans="1:13" s="3" customFormat="1" ht="13.5" thickBot="1">
      <c r="A20" s="62"/>
      <c r="B20" s="30"/>
      <c r="C20" s="31"/>
      <c r="D20" s="50"/>
      <c r="E20" s="50"/>
      <c r="F20" s="50"/>
      <c r="G20" s="51"/>
      <c r="H20" s="63"/>
      <c r="I20" s="8"/>
    </row>
    <row r="21" spans="1:13" s="3" customFormat="1" ht="13.5" thickBot="1">
      <c r="A21" s="64"/>
      <c r="B21" s="386" t="s">
        <v>22</v>
      </c>
      <c r="C21" s="388"/>
      <c r="D21" s="36">
        <v>0.111</v>
      </c>
      <c r="E21" s="36">
        <v>0.14019999999999999</v>
      </c>
      <c r="F21" s="36">
        <v>0.16800000000000001</v>
      </c>
      <c r="G21" s="52">
        <f>((1+G13+G14+G15)*(1+G16)*(1+G17)/(1-G18-G19))-1</f>
        <v>0.14016800153606646</v>
      </c>
      <c r="H21" s="65"/>
      <c r="I21" s="8"/>
    </row>
    <row r="22" spans="1:13">
      <c r="A22" s="40"/>
      <c r="B22" s="41"/>
      <c r="C22" s="41"/>
      <c r="D22" s="41"/>
      <c r="E22" s="41"/>
      <c r="F22" s="41"/>
      <c r="G22" s="41"/>
      <c r="H22" s="42"/>
      <c r="I22" s="8"/>
    </row>
    <row r="23" spans="1:13">
      <c r="A23" s="40"/>
      <c r="B23" s="41"/>
      <c r="C23" s="41"/>
      <c r="D23" s="41"/>
      <c r="E23" s="41"/>
      <c r="F23" s="41"/>
      <c r="G23" s="41"/>
      <c r="H23" s="42"/>
      <c r="I23" s="8"/>
    </row>
    <row r="24" spans="1:13" ht="13.5" thickBot="1">
      <c r="A24" s="40"/>
      <c r="B24" s="41"/>
      <c r="C24" s="41"/>
      <c r="D24" s="41"/>
      <c r="E24" s="41"/>
      <c r="F24" s="41"/>
      <c r="G24" s="41"/>
      <c r="H24" s="42"/>
      <c r="I24" s="8"/>
    </row>
    <row r="25" spans="1:13" ht="13.5" thickBot="1">
      <c r="A25" s="62"/>
      <c r="B25" s="386" t="s">
        <v>41</v>
      </c>
      <c r="C25" s="387"/>
      <c r="D25" s="387"/>
      <c r="E25" s="387"/>
      <c r="F25" s="387"/>
      <c r="G25" s="388"/>
      <c r="H25" s="42"/>
      <c r="I25" s="8"/>
    </row>
    <row r="26" spans="1:13" ht="13.5" thickBot="1">
      <c r="A26" s="62"/>
      <c r="B26" s="375"/>
      <c r="C26" s="376"/>
      <c r="D26" s="376"/>
      <c r="E26" s="376"/>
      <c r="F26" s="376"/>
      <c r="G26" s="377"/>
      <c r="H26" s="42"/>
      <c r="I26" s="8"/>
    </row>
    <row r="27" spans="1:13" ht="13.5" thickBot="1">
      <c r="A27" s="64"/>
      <c r="B27" s="17"/>
      <c r="C27" s="18" t="s">
        <v>40</v>
      </c>
      <c r="D27" s="17" t="s">
        <v>39</v>
      </c>
      <c r="E27" s="17" t="s">
        <v>38</v>
      </c>
      <c r="F27" s="17" t="s">
        <v>37</v>
      </c>
      <c r="G27" s="52" t="s">
        <v>36</v>
      </c>
      <c r="H27" s="42"/>
      <c r="I27" s="8"/>
    </row>
    <row r="28" spans="1:13">
      <c r="A28" s="62"/>
      <c r="B28" s="19" t="s">
        <v>35</v>
      </c>
      <c r="C28" s="20" t="s">
        <v>34</v>
      </c>
      <c r="D28" s="21">
        <v>3.4299999999999997E-2</v>
      </c>
      <c r="E28" s="21">
        <v>4.9299999999999997E-2</v>
      </c>
      <c r="F28" s="21">
        <v>6.7100000000000007E-2</v>
      </c>
      <c r="G28" s="53">
        <f>D28</f>
        <v>3.4299999999999997E-2</v>
      </c>
      <c r="H28" s="42"/>
    </row>
    <row r="29" spans="1:13">
      <c r="A29" s="62"/>
      <c r="B29" s="22" t="s">
        <v>33</v>
      </c>
      <c r="C29" s="23" t="s">
        <v>32</v>
      </c>
      <c r="D29" s="24">
        <v>2.8E-3</v>
      </c>
      <c r="E29" s="24">
        <v>4.8999999999999998E-3</v>
      </c>
      <c r="F29" s="24">
        <v>7.4999999999999997E-3</v>
      </c>
      <c r="G29" s="54">
        <v>4.8999999999999998E-3</v>
      </c>
      <c r="H29" s="42"/>
    </row>
    <row r="30" spans="1:13">
      <c r="A30" s="62"/>
      <c r="B30" s="22" t="s">
        <v>31</v>
      </c>
      <c r="C30" s="23" t="s">
        <v>30</v>
      </c>
      <c r="D30" s="24">
        <v>0.01</v>
      </c>
      <c r="E30" s="24">
        <v>1.3899999999999999E-2</v>
      </c>
      <c r="F30" s="24">
        <v>1.7399999999999999E-2</v>
      </c>
      <c r="G30" s="54">
        <v>1.3100000000000001E-2</v>
      </c>
      <c r="H30" s="42"/>
    </row>
    <row r="31" spans="1:13">
      <c r="A31" s="62"/>
      <c r="B31" s="25" t="s">
        <v>29</v>
      </c>
      <c r="C31" s="26" t="s">
        <v>28</v>
      </c>
      <c r="D31" s="24">
        <v>9.4000000000000004E-3</v>
      </c>
      <c r="E31" s="24">
        <v>9.9000000000000008E-3</v>
      </c>
      <c r="F31" s="24">
        <v>1.17E-2</v>
      </c>
      <c r="G31" s="54">
        <v>9.9000000000000008E-3</v>
      </c>
      <c r="H31" s="42"/>
    </row>
    <row r="32" spans="1:13">
      <c r="A32" s="62"/>
      <c r="B32" s="25" t="s">
        <v>17</v>
      </c>
      <c r="C32" s="26" t="s">
        <v>27</v>
      </c>
      <c r="D32" s="24">
        <v>6.7400000000000002E-2</v>
      </c>
      <c r="E32" s="24">
        <v>8.0399999999999999E-2</v>
      </c>
      <c r="F32" s="24">
        <v>9.4E-2</v>
      </c>
      <c r="G32" s="54">
        <f>D32</f>
        <v>6.7400000000000002E-2</v>
      </c>
      <c r="H32" s="42"/>
    </row>
    <row r="33" spans="1:18">
      <c r="A33" s="62"/>
      <c r="B33" s="25" t="s">
        <v>26</v>
      </c>
      <c r="C33" s="26" t="s">
        <v>25</v>
      </c>
      <c r="D33" s="24">
        <v>3.6499999999999998E-2</v>
      </c>
      <c r="E33" s="24">
        <v>3.6499999999999998E-2</v>
      </c>
      <c r="F33" s="24">
        <v>3.6499999999999998E-2</v>
      </c>
      <c r="G33" s="54">
        <v>3.6499999999999998E-2</v>
      </c>
      <c r="H33" s="42"/>
    </row>
    <row r="34" spans="1:18" ht="13.5" thickBot="1">
      <c r="A34" s="62"/>
      <c r="B34" s="27" t="s">
        <v>24</v>
      </c>
      <c r="C34" s="28" t="s">
        <v>23</v>
      </c>
      <c r="D34" s="29">
        <v>0.05</v>
      </c>
      <c r="E34" s="29">
        <v>0.05</v>
      </c>
      <c r="F34" s="29">
        <v>0.05</v>
      </c>
      <c r="G34" s="55">
        <v>0.05</v>
      </c>
      <c r="H34" s="42"/>
    </row>
    <row r="35" spans="1:18" ht="13.5" thickBot="1">
      <c r="A35" s="62"/>
      <c r="B35" s="30"/>
      <c r="C35" s="31"/>
      <c r="D35" s="50"/>
      <c r="E35" s="50"/>
      <c r="F35" s="50"/>
      <c r="G35" s="51"/>
      <c r="H35" s="42"/>
    </row>
    <row r="36" spans="1:18" ht="13.5" thickBot="1">
      <c r="A36" s="62"/>
      <c r="B36" s="32"/>
      <c r="C36" s="33"/>
      <c r="D36" s="34"/>
      <c r="E36" s="34"/>
      <c r="F36" s="34"/>
      <c r="G36" s="35"/>
      <c r="H36" s="42"/>
    </row>
    <row r="37" spans="1:18" ht="13.5" thickBot="1">
      <c r="A37" s="64"/>
      <c r="B37" s="386" t="s">
        <v>22</v>
      </c>
      <c r="C37" s="388"/>
      <c r="D37" s="36">
        <v>0.20760000000000001</v>
      </c>
      <c r="E37" s="36">
        <v>0.24179999999999999</v>
      </c>
      <c r="F37" s="36">
        <v>0.26440000000000002</v>
      </c>
      <c r="G37" s="52">
        <f>((1+G28+G29+G30)*(1+G31)*(1+G32)/(1-G33-G34))-1</f>
        <v>0.24175692139901472</v>
      </c>
      <c r="H37" s="42"/>
    </row>
    <row r="38" spans="1:18">
      <c r="A38" s="40"/>
      <c r="B38" s="41"/>
      <c r="C38" s="41"/>
      <c r="D38" s="41"/>
      <c r="E38" s="41"/>
      <c r="F38" s="41"/>
      <c r="G38" s="41"/>
      <c r="H38" s="42"/>
      <c r="L38" s="389"/>
      <c r="M38" s="389"/>
      <c r="N38" s="389"/>
      <c r="O38" s="389"/>
      <c r="P38" s="389"/>
      <c r="Q38" s="389"/>
      <c r="R38" s="389"/>
    </row>
    <row r="39" spans="1:18">
      <c r="A39" s="40"/>
      <c r="B39" s="41"/>
      <c r="C39" s="41"/>
      <c r="D39" s="41"/>
      <c r="E39" s="41"/>
      <c r="F39" s="41"/>
      <c r="G39" s="41"/>
      <c r="H39" s="42"/>
      <c r="L39" s="389"/>
      <c r="M39" s="389"/>
      <c r="N39" s="389"/>
      <c r="O39" s="389"/>
      <c r="P39" s="389"/>
      <c r="Q39" s="389"/>
      <c r="R39" s="389"/>
    </row>
    <row r="40" spans="1:18">
      <c r="A40" s="66"/>
      <c r="B40" s="390" t="s">
        <v>62</v>
      </c>
      <c r="C40" s="391"/>
      <c r="D40" s="391"/>
      <c r="E40" s="391"/>
      <c r="F40" s="391"/>
      <c r="G40" s="392"/>
      <c r="H40" s="42"/>
    </row>
    <row r="41" spans="1:18">
      <c r="A41" s="67"/>
      <c r="B41" s="393"/>
      <c r="C41" s="394"/>
      <c r="D41" s="394"/>
      <c r="E41" s="394"/>
      <c r="F41" s="394"/>
      <c r="G41" s="395"/>
      <c r="H41" s="42"/>
    </row>
    <row r="42" spans="1:18">
      <c r="A42" s="67"/>
      <c r="B42" s="68"/>
      <c r="C42" s="68"/>
      <c r="D42" s="68"/>
      <c r="E42" s="68"/>
      <c r="F42" s="68"/>
      <c r="G42" s="68"/>
      <c r="H42" s="42"/>
    </row>
    <row r="43" spans="1:18" ht="13.5" thickBot="1">
      <c r="A43" s="40"/>
      <c r="B43" s="41"/>
      <c r="C43" s="41"/>
      <c r="D43" s="41"/>
      <c r="E43" s="41"/>
      <c r="F43" s="41"/>
      <c r="G43" s="41"/>
      <c r="H43" s="42"/>
    </row>
    <row r="44" spans="1:18">
      <c r="A44" s="40"/>
      <c r="B44" s="37" t="s">
        <v>21</v>
      </c>
      <c r="C44" s="38" t="s">
        <v>63</v>
      </c>
      <c r="D44" s="38"/>
      <c r="E44" s="38"/>
      <c r="F44" s="38"/>
      <c r="G44" s="39"/>
      <c r="H44" s="42"/>
    </row>
    <row r="45" spans="1:18">
      <c r="A45" s="40"/>
      <c r="B45" s="40"/>
      <c r="C45" s="41" t="s">
        <v>20</v>
      </c>
      <c r="D45" s="41"/>
      <c r="E45" s="41"/>
      <c r="F45" s="41"/>
      <c r="G45" s="42"/>
      <c r="H45" s="42"/>
    </row>
    <row r="46" spans="1:18">
      <c r="A46" s="40"/>
      <c r="B46" s="40"/>
      <c r="C46" s="41"/>
      <c r="D46" s="41"/>
      <c r="E46" s="41"/>
      <c r="F46" s="41"/>
      <c r="G46" s="42"/>
      <c r="H46" s="42"/>
    </row>
    <row r="47" spans="1:18">
      <c r="A47" s="40"/>
      <c r="B47" s="40"/>
      <c r="C47" s="41" t="s">
        <v>64</v>
      </c>
      <c r="D47" s="41"/>
      <c r="E47" s="41"/>
      <c r="F47" s="41"/>
      <c r="G47" s="42"/>
      <c r="H47" s="42"/>
    </row>
    <row r="48" spans="1:18">
      <c r="A48" s="40"/>
      <c r="B48" s="40"/>
      <c r="C48" s="41" t="s">
        <v>19</v>
      </c>
      <c r="D48" s="41"/>
      <c r="E48" s="41"/>
      <c r="F48" s="41"/>
      <c r="G48" s="42"/>
      <c r="H48" s="42"/>
    </row>
    <row r="49" spans="1:10">
      <c r="A49" s="40"/>
      <c r="B49" s="40"/>
      <c r="C49" s="41"/>
      <c r="D49" s="41"/>
      <c r="E49" s="41"/>
      <c r="F49" s="41"/>
      <c r="G49" s="42"/>
      <c r="H49" s="42"/>
    </row>
    <row r="50" spans="1:10" ht="13.5" thickBot="1">
      <c r="A50" s="40"/>
      <c r="B50" s="43"/>
      <c r="C50" s="44" t="s">
        <v>65</v>
      </c>
      <c r="D50" s="44"/>
      <c r="E50" s="44"/>
      <c r="F50" s="44"/>
      <c r="G50" s="45"/>
      <c r="H50" s="42"/>
    </row>
    <row r="51" spans="1:10">
      <c r="A51" s="40"/>
      <c r="B51" s="41"/>
      <c r="C51" s="41"/>
      <c r="D51" s="41"/>
      <c r="E51" s="41"/>
      <c r="F51" s="41"/>
      <c r="G51" s="41"/>
      <c r="H51" s="42"/>
    </row>
    <row r="52" spans="1:10">
      <c r="A52" s="40"/>
      <c r="B52" s="41"/>
      <c r="C52" s="41"/>
      <c r="D52" s="398"/>
      <c r="E52" s="398"/>
      <c r="F52" s="41"/>
      <c r="G52" s="41"/>
      <c r="H52" s="42"/>
    </row>
    <row r="53" spans="1:10">
      <c r="A53" s="40"/>
      <c r="B53" s="41"/>
      <c r="C53" s="41"/>
      <c r="D53" s="398"/>
      <c r="E53" s="398"/>
      <c r="F53" s="41"/>
      <c r="G53" s="41"/>
      <c r="H53" s="42"/>
    </row>
    <row r="54" spans="1:10">
      <c r="A54" s="40"/>
      <c r="B54" s="41"/>
      <c r="C54" s="41"/>
      <c r="D54" s="41"/>
      <c r="E54" s="41"/>
      <c r="F54" s="41"/>
      <c r="G54" s="41"/>
      <c r="H54" s="42"/>
    </row>
    <row r="55" spans="1:10">
      <c r="A55" s="69" t="s">
        <v>18</v>
      </c>
      <c r="B55" s="396"/>
      <c r="C55" s="396"/>
      <c r="D55" s="396"/>
      <c r="E55" s="396"/>
      <c r="F55" s="396"/>
      <c r="G55" s="396"/>
      <c r="H55" s="70"/>
    </row>
    <row r="56" spans="1:10">
      <c r="A56" s="40"/>
      <c r="B56" s="397"/>
      <c r="C56" s="397"/>
      <c r="D56" s="397"/>
      <c r="E56" s="397"/>
      <c r="F56" s="397"/>
      <c r="G56" s="397"/>
      <c r="H56" s="42"/>
    </row>
    <row r="57" spans="1:10" ht="13.5" thickBot="1">
      <c r="A57" s="43"/>
      <c r="B57" s="44" t="s">
        <v>69</v>
      </c>
      <c r="C57" s="44"/>
      <c r="D57" s="44"/>
      <c r="E57" s="44"/>
      <c r="F57" s="44"/>
      <c r="G57" s="44"/>
      <c r="H57" s="45"/>
    </row>
    <row r="58" spans="1:10" ht="13.5" customHeight="1">
      <c r="B58" s="1" t="s">
        <v>70</v>
      </c>
    </row>
    <row r="59" spans="1:10">
      <c r="B59" s="1" t="s">
        <v>71</v>
      </c>
    </row>
    <row r="60" spans="1:10">
      <c r="B60" s="1" t="s">
        <v>72</v>
      </c>
    </row>
    <row r="61" spans="1:10">
      <c r="B61" s="1" t="s">
        <v>73</v>
      </c>
      <c r="C61" s="3"/>
      <c r="D61" s="5"/>
      <c r="E61" s="3"/>
      <c r="F61" s="4"/>
      <c r="G61" s="3"/>
      <c r="H61" s="3"/>
      <c r="I61" s="3"/>
      <c r="J61" s="3"/>
    </row>
    <row r="62" spans="1:10">
      <c r="B62" s="1" t="s">
        <v>74</v>
      </c>
    </row>
    <row r="63" spans="1:10">
      <c r="B63" s="1" t="s">
        <v>75</v>
      </c>
      <c r="D63" s="385"/>
      <c r="E63" s="385"/>
      <c r="F63" s="385"/>
    </row>
    <row r="64" spans="1:10">
      <c r="B64" s="1" t="s">
        <v>76</v>
      </c>
      <c r="D64" s="385"/>
      <c r="E64" s="385"/>
      <c r="F64" s="385"/>
    </row>
    <row r="65" spans="2:6">
      <c r="B65" s="1" t="s">
        <v>77</v>
      </c>
      <c r="E65" s="2"/>
    </row>
    <row r="66" spans="2:6">
      <c r="B66" s="1" t="s">
        <v>78</v>
      </c>
      <c r="E66" s="2"/>
    </row>
    <row r="67" spans="2:6">
      <c r="B67" s="1" t="s">
        <v>79</v>
      </c>
    </row>
    <row r="68" spans="2:6">
      <c r="B68" s="1" t="s">
        <v>80</v>
      </c>
      <c r="D68" s="385"/>
      <c r="E68" s="385"/>
      <c r="F68" s="385"/>
    </row>
    <row r="69" spans="2:6">
      <c r="B69" s="1" t="s">
        <v>81</v>
      </c>
      <c r="E69" s="2"/>
    </row>
    <row r="70" spans="2:6">
      <c r="B70" s="1" t="s">
        <v>82</v>
      </c>
      <c r="E70" s="2"/>
    </row>
    <row r="71" spans="2:6">
      <c r="B71" s="1" t="s">
        <v>83</v>
      </c>
    </row>
    <row r="72" spans="2:6">
      <c r="B72" s="1" t="s">
        <v>84</v>
      </c>
    </row>
    <row r="73" spans="2:6">
      <c r="B73" s="1" t="s">
        <v>85</v>
      </c>
    </row>
    <row r="74" spans="2:6">
      <c r="B74" s="1" t="s">
        <v>86</v>
      </c>
    </row>
    <row r="75" spans="2:6">
      <c r="B75" s="1" t="s">
        <v>87</v>
      </c>
    </row>
    <row r="76" spans="2:6">
      <c r="B76" s="1" t="s">
        <v>88</v>
      </c>
    </row>
    <row r="77" spans="2:6">
      <c r="B77" s="1" t="s">
        <v>89</v>
      </c>
    </row>
    <row r="78" spans="2:6">
      <c r="B78" s="1" t="s">
        <v>90</v>
      </c>
    </row>
    <row r="79" spans="2:6">
      <c r="B79" s="1" t="s">
        <v>91</v>
      </c>
    </row>
    <row r="80" spans="2:6">
      <c r="B80" s="1" t="s">
        <v>92</v>
      </c>
    </row>
    <row r="81" spans="2:2">
      <c r="B81" s="1" t="s">
        <v>93</v>
      </c>
    </row>
    <row r="82" spans="2:2">
      <c r="B82" s="1" t="s">
        <v>94</v>
      </c>
    </row>
    <row r="83" spans="2:2">
      <c r="B83" s="1" t="s">
        <v>95</v>
      </c>
    </row>
    <row r="84" spans="2:2">
      <c r="B84" s="1" t="s">
        <v>96</v>
      </c>
    </row>
    <row r="85" spans="2:2">
      <c r="B85" s="1" t="s">
        <v>97</v>
      </c>
    </row>
    <row r="86" spans="2:2">
      <c r="B86" s="1" t="s">
        <v>98</v>
      </c>
    </row>
    <row r="87" spans="2:2">
      <c r="B87" s="1" t="s">
        <v>99</v>
      </c>
    </row>
    <row r="88" spans="2:2">
      <c r="B88" s="1" t="s">
        <v>100</v>
      </c>
    </row>
    <row r="89" spans="2:2">
      <c r="B89" s="1" t="s">
        <v>101</v>
      </c>
    </row>
    <row r="90" spans="2:2">
      <c r="B90" s="1" t="s">
        <v>102</v>
      </c>
    </row>
    <row r="91" spans="2:2">
      <c r="B91" s="1" t="s">
        <v>103</v>
      </c>
    </row>
    <row r="92" spans="2:2">
      <c r="B92" s="1" t="s">
        <v>104</v>
      </c>
    </row>
    <row r="93" spans="2:2">
      <c r="B93" s="1" t="s">
        <v>105</v>
      </c>
    </row>
    <row r="94" spans="2:2">
      <c r="B94" s="1" t="s">
        <v>106</v>
      </c>
    </row>
    <row r="95" spans="2:2">
      <c r="B95" s="1" t="s">
        <v>107</v>
      </c>
    </row>
    <row r="96" spans="2:2">
      <c r="B96" s="1" t="s">
        <v>108</v>
      </c>
    </row>
    <row r="97" spans="2:8">
      <c r="B97" s="1" t="s">
        <v>109</v>
      </c>
    </row>
    <row r="98" spans="2:8">
      <c r="B98" s="1" t="s">
        <v>110</v>
      </c>
    </row>
    <row r="99" spans="2:8">
      <c r="B99" s="1" t="s">
        <v>111</v>
      </c>
    </row>
    <row r="100" spans="2:8">
      <c r="B100" s="1" t="s">
        <v>112</v>
      </c>
    </row>
    <row r="101" spans="2:8">
      <c r="B101" s="1" t="s">
        <v>113</v>
      </c>
    </row>
    <row r="102" spans="2:8">
      <c r="B102" s="1" t="s">
        <v>114</v>
      </c>
    </row>
    <row r="103" spans="2:8">
      <c r="B103" s="1" t="s">
        <v>115</v>
      </c>
    </row>
    <row r="104" spans="2:8">
      <c r="B104" s="1" t="s">
        <v>116</v>
      </c>
    </row>
    <row r="105" spans="2:8">
      <c r="B105" s="1" t="s">
        <v>117</v>
      </c>
    </row>
    <row r="106" spans="2:8">
      <c r="B106" s="1" t="s">
        <v>118</v>
      </c>
    </row>
    <row r="107" spans="2:8">
      <c r="B107" s="1" t="s">
        <v>119</v>
      </c>
    </row>
    <row r="108" spans="2:8">
      <c r="B108" s="1" t="s">
        <v>120</v>
      </c>
    </row>
    <row r="109" spans="2:8">
      <c r="B109" s="73"/>
      <c r="C109" s="73"/>
      <c r="D109" s="73"/>
      <c r="E109" s="73"/>
      <c r="F109" s="73"/>
      <c r="G109" s="73"/>
      <c r="H109" s="73"/>
    </row>
    <row r="110" spans="2:8">
      <c r="B110" s="73"/>
      <c r="C110" s="73"/>
      <c r="D110" s="73"/>
      <c r="E110" s="73"/>
      <c r="F110" s="73"/>
      <c r="G110" s="73"/>
      <c r="H110" s="73"/>
    </row>
  </sheetData>
  <mergeCells count="19">
    <mergeCell ref="D64:F64"/>
    <mergeCell ref="D68:F68"/>
    <mergeCell ref="B37:C37"/>
    <mergeCell ref="L38:R38"/>
    <mergeCell ref="L39:R39"/>
    <mergeCell ref="B40:G41"/>
    <mergeCell ref="B55:G55"/>
    <mergeCell ref="B56:G56"/>
    <mergeCell ref="D53:E53"/>
    <mergeCell ref="D52:E52"/>
    <mergeCell ref="B26:G26"/>
    <mergeCell ref="A7:H8"/>
    <mergeCell ref="C3:H3"/>
    <mergeCell ref="C4:H4"/>
    <mergeCell ref="D63:F63"/>
    <mergeCell ref="B25:G25"/>
    <mergeCell ref="B10:G10"/>
    <mergeCell ref="B21:C21"/>
    <mergeCell ref="B11:G11"/>
  </mergeCells>
  <printOptions horizontalCentered="1"/>
  <pageMargins left="0.62992125984251968" right="0.39370078740157483" top="0.55118110236220474" bottom="0.70866141732283472" header="0.51181102362204722" footer="0.23622047244094491"/>
  <pageSetup paperSize="9" scale="84" fitToHeight="0" orientation="portrait" r:id="rId1"/>
  <headerFooter>
    <oddFooter>&amp;LENGENHARIA&amp;C&amp;F&amp;R&amp;D  &amp;T</oddFooter>
  </headerFooter>
  <rowBreaks count="1" manualBreakCount="1">
    <brk id="56" max="7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5"/>
  <sheetViews>
    <sheetView showGridLines="0" tabSelected="1" workbookViewId="0">
      <selection activeCell="O15" sqref="O15"/>
    </sheetView>
  </sheetViews>
  <sheetFormatPr defaultRowHeight="12.75"/>
  <cols>
    <col min="1" max="1" width="14.5703125" customWidth="1"/>
    <col min="2" max="2" width="39.42578125" bestFit="1" customWidth="1"/>
    <col min="3" max="3" width="13.7109375" customWidth="1"/>
    <col min="5" max="5" width="1.85546875" customWidth="1"/>
    <col min="6" max="6" width="2.140625" hidden="1" customWidth="1"/>
    <col min="7" max="7" width="4" hidden="1" customWidth="1"/>
    <col min="9" max="9" width="6.5703125" customWidth="1"/>
  </cols>
  <sheetData>
    <row r="1" spans="1:9" s="129" customFormat="1" ht="11.25">
      <c r="A1" s="125"/>
      <c r="B1" s="399" t="s">
        <v>543</v>
      </c>
      <c r="C1" s="399"/>
      <c r="D1" s="399"/>
      <c r="E1" s="399"/>
      <c r="F1" s="399"/>
      <c r="G1" s="399"/>
      <c r="H1" s="399"/>
      <c r="I1" s="400"/>
    </row>
    <row r="2" spans="1:9" s="129" customFormat="1" ht="12.75" customHeight="1">
      <c r="A2" s="130"/>
      <c r="B2" s="401" t="s">
        <v>156</v>
      </c>
      <c r="C2" s="401"/>
      <c r="D2" s="401"/>
      <c r="E2" s="401"/>
      <c r="F2" s="401"/>
      <c r="G2" s="401"/>
      <c r="H2" s="401"/>
      <c r="I2" s="408"/>
    </row>
    <row r="3" spans="1:9" s="129" customFormat="1" ht="18" customHeight="1">
      <c r="A3" s="130"/>
      <c r="B3" s="401" t="s">
        <v>157</v>
      </c>
      <c r="C3" s="401"/>
      <c r="D3" s="401"/>
      <c r="E3" s="401"/>
      <c r="F3" s="401"/>
      <c r="G3" s="401"/>
      <c r="H3" s="401"/>
      <c r="I3" s="408"/>
    </row>
    <row r="4" spans="1:9" s="129" customFormat="1" ht="11.25" customHeight="1">
      <c r="A4" s="130"/>
      <c r="B4" s="401" t="s">
        <v>340</v>
      </c>
      <c r="C4" s="402"/>
      <c r="D4" s="402"/>
      <c r="E4" s="402"/>
      <c r="F4" s="402"/>
      <c r="G4" s="402"/>
      <c r="H4" s="402"/>
      <c r="I4" s="403"/>
    </row>
    <row r="5" spans="1:9" s="129" customFormat="1" ht="33" customHeight="1">
      <c r="A5" s="130"/>
      <c r="B5" s="402"/>
      <c r="C5" s="402"/>
      <c r="D5" s="402"/>
      <c r="E5" s="402"/>
      <c r="F5" s="402"/>
      <c r="G5" s="402"/>
      <c r="H5" s="402"/>
      <c r="I5" s="403"/>
    </row>
    <row r="6" spans="1:9" s="129" customFormat="1" ht="12.75" customHeight="1">
      <c r="A6" s="130"/>
      <c r="B6" s="409" t="s">
        <v>314</v>
      </c>
      <c r="C6" s="409"/>
      <c r="D6" s="409"/>
      <c r="E6" s="409"/>
      <c r="F6" s="409"/>
      <c r="G6" s="409"/>
      <c r="H6" s="409"/>
      <c r="I6" s="410"/>
    </row>
    <row r="7" spans="1:9" s="129" customFormat="1" ht="22.5" customHeight="1">
      <c r="A7" s="130"/>
      <c r="B7" s="404" t="s">
        <v>472</v>
      </c>
      <c r="C7" s="404"/>
      <c r="D7" s="404"/>
      <c r="E7" s="404"/>
      <c r="F7" s="404"/>
      <c r="G7" s="404"/>
      <c r="H7" s="404"/>
      <c r="I7" s="405"/>
    </row>
    <row r="8" spans="1:9" s="129" customFormat="1" ht="15">
      <c r="A8" s="126"/>
      <c r="B8" s="406" t="s">
        <v>234</v>
      </c>
      <c r="C8" s="406"/>
      <c r="D8" s="406"/>
      <c r="E8" s="406"/>
      <c r="F8" s="406"/>
      <c r="G8" s="406"/>
      <c r="H8" s="406"/>
      <c r="I8" s="407"/>
    </row>
    <row r="10" spans="1:9" s="190" customFormat="1">
      <c r="A10" s="191" t="s">
        <v>230</v>
      </c>
      <c r="B10" s="414" t="s">
        <v>231</v>
      </c>
      <c r="C10" s="415"/>
      <c r="D10" s="415"/>
      <c r="E10" s="415"/>
      <c r="F10" s="415"/>
      <c r="G10" s="416"/>
      <c r="H10" s="421" t="s">
        <v>232</v>
      </c>
      <c r="I10" s="421"/>
    </row>
    <row r="11" spans="1:9" s="190" customFormat="1" ht="23.25" customHeight="1">
      <c r="A11" s="178">
        <v>1</v>
      </c>
      <c r="B11" s="411" t="str">
        <f>CANTEIRO!C7</f>
        <v>CANTEIRO E ADMINISTRAÇÃO LOCAL</v>
      </c>
      <c r="C11" s="412"/>
      <c r="D11" s="412"/>
      <c r="E11" s="412"/>
      <c r="F11" s="412"/>
      <c r="G11" s="413"/>
      <c r="H11" s="422">
        <f>CANTEIRO!I38</f>
        <v>0</v>
      </c>
      <c r="I11" s="422"/>
    </row>
    <row r="12" spans="1:9" s="190" customFormat="1" ht="23.25" customHeight="1">
      <c r="A12" s="178">
        <v>2</v>
      </c>
      <c r="B12" s="411" t="s">
        <v>217</v>
      </c>
      <c r="C12" s="412"/>
      <c r="D12" s="412"/>
      <c r="E12" s="412"/>
      <c r="F12" s="412"/>
      <c r="G12" s="413"/>
      <c r="H12" s="422">
        <f>MACROS!I254</f>
        <v>0</v>
      </c>
      <c r="I12" s="422"/>
    </row>
    <row r="13" spans="1:9" s="190" customFormat="1" ht="23.25" customHeight="1">
      <c r="A13" s="178">
        <v>3</v>
      </c>
      <c r="B13" s="411" t="s">
        <v>235</v>
      </c>
      <c r="C13" s="412"/>
      <c r="D13" s="412"/>
      <c r="E13" s="412"/>
      <c r="F13" s="412"/>
      <c r="G13" s="413"/>
      <c r="H13" s="422">
        <f>VRPS!I443</f>
        <v>0</v>
      </c>
      <c r="I13" s="422"/>
    </row>
    <row r="14" spans="1:9" s="190" customFormat="1" ht="23.25" customHeight="1">
      <c r="A14" s="418" t="s">
        <v>233</v>
      </c>
      <c r="B14" s="419"/>
      <c r="C14" s="419"/>
      <c r="D14" s="419"/>
      <c r="E14" s="419"/>
      <c r="F14" s="419"/>
      <c r="G14" s="420"/>
      <c r="H14" s="417">
        <f>SUM(H11:I13)</f>
        <v>0</v>
      </c>
      <c r="I14" s="417"/>
    </row>
    <row r="22" spans="2:3">
      <c r="C22" s="192"/>
    </row>
    <row r="26" spans="2:3" ht="11.25" customHeight="1">
      <c r="B26" s="193"/>
    </row>
    <row r="27" spans="2:3" ht="11.25" customHeight="1">
      <c r="B27" s="193"/>
    </row>
    <row r="28" spans="2:3" ht="11.25" customHeight="1">
      <c r="B28" s="193"/>
    </row>
    <row r="29" spans="2:3" ht="11.25" customHeight="1">
      <c r="B29" s="194"/>
    </row>
    <row r="30" spans="2:3" ht="11.25" customHeight="1">
      <c r="B30" s="194"/>
    </row>
    <row r="31" spans="2:3" ht="11.25" customHeight="1">
      <c r="B31" s="194"/>
    </row>
    <row r="32" spans="2:3" ht="11.25" customHeight="1">
      <c r="B32" s="194"/>
    </row>
    <row r="33" spans="2:2" ht="11.25" customHeight="1">
      <c r="B33" s="194"/>
    </row>
    <row r="34" spans="2:2" ht="11.25" customHeight="1">
      <c r="B34" s="194"/>
    </row>
    <row r="35" spans="2:2" ht="11.25" customHeight="1">
      <c r="B35" s="194"/>
    </row>
  </sheetData>
  <mergeCells count="17">
    <mergeCell ref="B11:G11"/>
    <mergeCell ref="B10:G10"/>
    <mergeCell ref="H14:I14"/>
    <mergeCell ref="A14:G14"/>
    <mergeCell ref="B13:G13"/>
    <mergeCell ref="B12:G12"/>
    <mergeCell ref="H10:I10"/>
    <mergeCell ref="H11:I11"/>
    <mergeCell ref="H12:I12"/>
    <mergeCell ref="H13:I13"/>
    <mergeCell ref="B1:I1"/>
    <mergeCell ref="B4:I5"/>
    <mergeCell ref="B7:I7"/>
    <mergeCell ref="B8:I8"/>
    <mergeCell ref="B3:I3"/>
    <mergeCell ref="B2:I2"/>
    <mergeCell ref="B6:I6"/>
  </mergeCells>
  <pageMargins left="0.78740157480314965" right="0.19685039370078741" top="0.39370078740157483" bottom="0.59055118110236227" header="0.31496062992125984" footer="0.39370078740157483"/>
  <pageSetup paperSize="9" orientation="portrait" r:id="rId1"/>
  <headerFooter>
    <oddFooter>&amp;C&amp;"Arial,Negrito"&amp;9Página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5387"/>
  <sheetViews>
    <sheetView showGridLines="0" zoomScaleNormal="100" workbookViewId="0">
      <selection activeCell="H13" sqref="H13"/>
    </sheetView>
  </sheetViews>
  <sheetFormatPr defaultColWidth="9.140625" defaultRowHeight="11.25"/>
  <cols>
    <col min="1" max="1" width="6.140625" style="143" customWidth="1"/>
    <col min="2" max="2" width="8.5703125" style="144" customWidth="1"/>
    <col min="3" max="3" width="6.85546875" style="180" bestFit="1" customWidth="1"/>
    <col min="4" max="4" width="28.85546875" style="144" customWidth="1"/>
    <col min="5" max="5" width="6.5703125" style="145" customWidth="1"/>
    <col min="6" max="6" width="6.7109375" style="146" bestFit="1" customWidth="1"/>
    <col min="7" max="8" width="10.42578125" style="142" bestFit="1" customWidth="1"/>
    <col min="9" max="9" width="9.5703125" style="147" customWidth="1"/>
    <col min="10" max="10" width="11.28515625" style="129" customWidth="1"/>
    <col min="11" max="16384" width="9.140625" style="129"/>
  </cols>
  <sheetData>
    <row r="1" spans="1:9">
      <c r="A1" s="125"/>
      <c r="B1" s="399" t="str">
        <f>Resumo!B1</f>
        <v>____/___/2026</v>
      </c>
      <c r="C1" s="399"/>
      <c r="D1" s="399"/>
      <c r="E1" s="399"/>
      <c r="F1" s="399"/>
      <c r="G1" s="399"/>
      <c r="H1" s="399"/>
      <c r="I1" s="400"/>
    </row>
    <row r="2" spans="1:9" s="235" customFormat="1" ht="12.75" customHeight="1">
      <c r="A2" s="233"/>
      <c r="B2" s="234"/>
      <c r="C2" s="401" t="s">
        <v>156</v>
      </c>
      <c r="D2" s="401"/>
      <c r="E2" s="401"/>
      <c r="F2" s="401"/>
      <c r="G2" s="401"/>
      <c r="H2" s="401"/>
      <c r="I2" s="408"/>
    </row>
    <row r="3" spans="1:9" s="235" customFormat="1" ht="18" customHeight="1">
      <c r="A3" s="233"/>
      <c r="B3" s="234"/>
      <c r="C3" s="401" t="s">
        <v>157</v>
      </c>
      <c r="D3" s="401"/>
      <c r="E3" s="401"/>
      <c r="F3" s="401"/>
      <c r="G3" s="401"/>
      <c r="H3" s="401"/>
      <c r="I3" s="408"/>
    </row>
    <row r="4" spans="1:9" s="235" customFormat="1" ht="11.25" customHeight="1">
      <c r="A4" s="233"/>
      <c r="B4" s="234"/>
      <c r="C4" s="401" t="str">
        <f>Resumo!B4</f>
        <v>FORNECIMENTO E INSTALAÇÃO DE MACRO MEDIDORES DE VAZÃO E VÁLVULAS REDUTORAS DE PRESSÃO E DELIMITAÇÃO DE ÁREAS DE INFLUÊNCIA</v>
      </c>
      <c r="D4" s="401"/>
      <c r="E4" s="401"/>
      <c r="F4" s="401"/>
      <c r="G4" s="401"/>
      <c r="H4" s="401"/>
      <c r="I4" s="408"/>
    </row>
    <row r="5" spans="1:9" s="235" customFormat="1" ht="33" customHeight="1">
      <c r="A5" s="233"/>
      <c r="B5" s="234"/>
      <c r="C5" s="401"/>
      <c r="D5" s="401"/>
      <c r="E5" s="401"/>
      <c r="F5" s="401"/>
      <c r="G5" s="401"/>
      <c r="H5" s="401"/>
      <c r="I5" s="408"/>
    </row>
    <row r="6" spans="1:9" ht="15.75" customHeight="1">
      <c r="A6" s="130"/>
      <c r="B6" s="131"/>
      <c r="C6" s="404" t="str">
        <f>Resumo!B7</f>
        <v>DATA BASE - REGIÃO: SABESP Jan/26; SINAPI/SP Jan/26; CDHU Jan/26; SBC Fev/26 ; PNPC</v>
      </c>
      <c r="D6" s="404"/>
      <c r="E6" s="404"/>
      <c r="F6" s="404"/>
      <c r="G6" s="404"/>
      <c r="H6" s="404"/>
      <c r="I6" s="405"/>
    </row>
    <row r="7" spans="1:9" ht="15">
      <c r="A7" s="130"/>
      <c r="B7" s="131"/>
      <c r="C7" s="401" t="s">
        <v>317</v>
      </c>
      <c r="D7" s="401"/>
      <c r="E7" s="401"/>
      <c r="F7" s="401"/>
      <c r="G7" s="401"/>
      <c r="H7" s="401"/>
      <c r="I7" s="408"/>
    </row>
    <row r="8" spans="1:9">
      <c r="A8" s="130"/>
      <c r="B8" s="131"/>
      <c r="C8" s="131"/>
      <c r="D8" s="132"/>
      <c r="E8" s="132"/>
      <c r="F8" s="132"/>
      <c r="G8" s="437" t="s">
        <v>191</v>
      </c>
      <c r="H8" s="438"/>
      <c r="I8" s="127">
        <v>0.92700000000000005</v>
      </c>
    </row>
    <row r="9" spans="1:9">
      <c r="A9" s="130"/>
      <c r="B9" s="131"/>
      <c r="C9" s="131"/>
      <c r="D9" s="132"/>
      <c r="E9" s="132"/>
      <c r="F9" s="132"/>
      <c r="G9" s="435" t="s">
        <v>195</v>
      </c>
      <c r="H9" s="436"/>
      <c r="I9" s="181">
        <v>0.26979999999999998</v>
      </c>
    </row>
    <row r="10" spans="1:9" s="134" customFormat="1" ht="33" customHeight="1">
      <c r="A10" s="128" t="s">
        <v>1</v>
      </c>
      <c r="B10" s="128" t="s">
        <v>3</v>
      </c>
      <c r="C10" s="128" t="s">
        <v>15</v>
      </c>
      <c r="D10" s="128" t="s">
        <v>2</v>
      </c>
      <c r="E10" s="128" t="s">
        <v>316</v>
      </c>
      <c r="F10" s="182" t="s">
        <v>158</v>
      </c>
      <c r="G10" s="236" t="s">
        <v>159</v>
      </c>
      <c r="H10" s="236" t="s">
        <v>160</v>
      </c>
      <c r="I10" s="236" t="s">
        <v>161</v>
      </c>
    </row>
    <row r="11" spans="1:9" s="135" customFormat="1">
      <c r="A11" s="239">
        <v>1</v>
      </c>
      <c r="B11" s="429" t="s">
        <v>14</v>
      </c>
      <c r="C11" s="430"/>
      <c r="D11" s="430"/>
      <c r="E11" s="430"/>
      <c r="F11" s="430"/>
      <c r="G11" s="430"/>
      <c r="H11" s="430"/>
      <c r="I11" s="431"/>
    </row>
    <row r="12" spans="1:9" s="135" customFormat="1">
      <c r="A12" s="237" t="s">
        <v>4</v>
      </c>
      <c r="B12" s="426" t="s">
        <v>318</v>
      </c>
      <c r="C12" s="427"/>
      <c r="D12" s="427"/>
      <c r="E12" s="427"/>
      <c r="F12" s="427"/>
      <c r="G12" s="427"/>
      <c r="H12" s="427"/>
      <c r="I12" s="428"/>
    </row>
    <row r="13" spans="1:9" s="135" customFormat="1" ht="22.5">
      <c r="A13" s="136" t="s">
        <v>162</v>
      </c>
      <c r="B13" s="153">
        <v>21101</v>
      </c>
      <c r="C13" s="137" t="s">
        <v>163</v>
      </c>
      <c r="D13" s="138" t="s">
        <v>164</v>
      </c>
      <c r="E13" s="139" t="s">
        <v>5</v>
      </c>
      <c r="F13" s="232">
        <v>1</v>
      </c>
      <c r="G13" s="140"/>
      <c r="H13" s="140">
        <f>G13*(1+$I$9)</f>
        <v>0</v>
      </c>
      <c r="I13" s="141">
        <f t="shared" ref="I13:I20" si="0">TRUNC(F13*H13,2)</f>
        <v>0</v>
      </c>
    </row>
    <row r="14" spans="1:9" s="135" customFormat="1" ht="22.5">
      <c r="A14" s="136" t="s">
        <v>165</v>
      </c>
      <c r="B14" s="153" t="s">
        <v>166</v>
      </c>
      <c r="C14" s="137" t="s">
        <v>167</v>
      </c>
      <c r="D14" s="138" t="s">
        <v>168</v>
      </c>
      <c r="E14" s="139" t="s">
        <v>169</v>
      </c>
      <c r="F14" s="232">
        <v>4</v>
      </c>
      <c r="G14" s="140"/>
      <c r="H14" s="140">
        <f t="shared" ref="H14:H18" si="1">G14*(1+$I$9)</f>
        <v>0</v>
      </c>
      <c r="I14" s="141">
        <f t="shared" si="0"/>
        <v>0</v>
      </c>
    </row>
    <row r="15" spans="1:9" s="135" customFormat="1" ht="33.75">
      <c r="A15" s="136" t="s">
        <v>170</v>
      </c>
      <c r="B15" s="137" t="s">
        <v>171</v>
      </c>
      <c r="C15" s="137" t="s">
        <v>167</v>
      </c>
      <c r="D15" s="138" t="s">
        <v>172</v>
      </c>
      <c r="E15" s="139" t="s">
        <v>169</v>
      </c>
      <c r="F15" s="232">
        <v>4</v>
      </c>
      <c r="G15" s="140"/>
      <c r="H15" s="140">
        <f t="shared" si="1"/>
        <v>0</v>
      </c>
      <c r="I15" s="141">
        <f t="shared" si="0"/>
        <v>0</v>
      </c>
    </row>
    <row r="16" spans="1:9" s="135" customFormat="1" ht="67.5">
      <c r="A16" s="136" t="s">
        <v>173</v>
      </c>
      <c r="B16" s="137" t="s">
        <v>174</v>
      </c>
      <c r="C16" s="137" t="s">
        <v>167</v>
      </c>
      <c r="D16" s="138" t="s">
        <v>175</v>
      </c>
      <c r="E16" s="139" t="s">
        <v>169</v>
      </c>
      <c r="F16" s="232">
        <v>4</v>
      </c>
      <c r="G16" s="140"/>
      <c r="H16" s="140">
        <f t="shared" si="1"/>
        <v>0</v>
      </c>
      <c r="I16" s="141">
        <f t="shared" si="0"/>
        <v>0</v>
      </c>
    </row>
    <row r="17" spans="1:9" s="135" customFormat="1" ht="33.75">
      <c r="A17" s="136" t="s">
        <v>326</v>
      </c>
      <c r="B17" s="137" t="s">
        <v>176</v>
      </c>
      <c r="C17" s="137" t="s">
        <v>167</v>
      </c>
      <c r="D17" s="138" t="s">
        <v>177</v>
      </c>
      <c r="E17" s="139" t="s">
        <v>169</v>
      </c>
      <c r="F17" s="232">
        <v>4</v>
      </c>
      <c r="G17" s="140"/>
      <c r="H17" s="140">
        <f t="shared" si="1"/>
        <v>0</v>
      </c>
      <c r="I17" s="141">
        <f t="shared" si="0"/>
        <v>0</v>
      </c>
    </row>
    <row r="18" spans="1:9" s="135" customFormat="1" ht="22.5">
      <c r="A18" s="136" t="s">
        <v>327</v>
      </c>
      <c r="B18" s="153">
        <v>12710</v>
      </c>
      <c r="C18" s="137" t="s">
        <v>163</v>
      </c>
      <c r="D18" s="138" t="s">
        <v>178</v>
      </c>
      <c r="E18" s="139" t="s">
        <v>169</v>
      </c>
      <c r="F18" s="232">
        <v>4</v>
      </c>
      <c r="G18" s="140"/>
      <c r="H18" s="140">
        <f t="shared" si="1"/>
        <v>0</v>
      </c>
      <c r="I18" s="141">
        <f t="shared" si="0"/>
        <v>0</v>
      </c>
    </row>
    <row r="19" spans="1:9" s="135" customFormat="1">
      <c r="A19" s="237" t="s">
        <v>123</v>
      </c>
      <c r="B19" s="426" t="s">
        <v>319</v>
      </c>
      <c r="C19" s="427"/>
      <c r="D19" s="427"/>
      <c r="E19" s="427"/>
      <c r="F19" s="427"/>
      <c r="G19" s="427"/>
      <c r="H19" s="427"/>
      <c r="I19" s="428"/>
    </row>
    <row r="20" spans="1:9" s="135" customFormat="1" ht="33.75">
      <c r="A20" s="136" t="s">
        <v>180</v>
      </c>
      <c r="B20" s="153">
        <v>12074</v>
      </c>
      <c r="C20" s="137" t="s">
        <v>163</v>
      </c>
      <c r="D20" s="138" t="s">
        <v>179</v>
      </c>
      <c r="E20" s="139" t="s">
        <v>5</v>
      </c>
      <c r="F20" s="232">
        <v>1</v>
      </c>
      <c r="G20" s="140"/>
      <c r="H20" s="140">
        <f>G20*(1+$I$9)</f>
        <v>0</v>
      </c>
      <c r="I20" s="141">
        <f t="shared" si="0"/>
        <v>0</v>
      </c>
    </row>
    <row r="21" spans="1:9" s="135" customFormat="1" ht="12.75" customHeight="1">
      <c r="A21" s="432" t="s">
        <v>325</v>
      </c>
      <c r="B21" s="433"/>
      <c r="C21" s="433"/>
      <c r="D21" s="433"/>
      <c r="E21" s="433"/>
      <c r="F21" s="433"/>
      <c r="G21" s="433"/>
      <c r="H21" s="434"/>
      <c r="I21" s="183">
        <f>SUM(I13:I20)</f>
        <v>0</v>
      </c>
    </row>
    <row r="22" spans="1:9" s="135" customFormat="1">
      <c r="A22" s="239">
        <v>2</v>
      </c>
      <c r="B22" s="429" t="s">
        <v>321</v>
      </c>
      <c r="C22" s="430"/>
      <c r="D22" s="430"/>
      <c r="E22" s="430"/>
      <c r="F22" s="430"/>
      <c r="G22" s="430"/>
      <c r="H22" s="430"/>
      <c r="I22" s="431"/>
    </row>
    <row r="23" spans="1:9" s="135" customFormat="1">
      <c r="A23" s="237" t="s">
        <v>8</v>
      </c>
      <c r="B23" s="426" t="s">
        <v>323</v>
      </c>
      <c r="C23" s="427"/>
      <c r="D23" s="427"/>
      <c r="E23" s="427"/>
      <c r="F23" s="427"/>
      <c r="G23" s="427"/>
      <c r="H23" s="427"/>
      <c r="I23" s="428"/>
    </row>
    <row r="24" spans="1:9" s="135" customFormat="1">
      <c r="A24" s="240" t="s">
        <v>248</v>
      </c>
      <c r="B24" s="240">
        <v>90778</v>
      </c>
      <c r="C24" s="240" t="s">
        <v>146</v>
      </c>
      <c r="D24" s="241" t="s">
        <v>324</v>
      </c>
      <c r="E24" s="139" t="s">
        <v>255</v>
      </c>
      <c r="F24" s="232">
        <f>2*120</f>
        <v>240</v>
      </c>
      <c r="G24" s="261"/>
      <c r="H24" s="140">
        <f>G24*(1+$I$9)</f>
        <v>0</v>
      </c>
      <c r="I24" s="141">
        <f t="shared" ref="I24" si="2">TRUNC(F24*H24,2)</f>
        <v>0</v>
      </c>
    </row>
    <row r="25" spans="1:9" s="135" customFormat="1">
      <c r="A25" s="432" t="s">
        <v>325</v>
      </c>
      <c r="B25" s="433"/>
      <c r="C25" s="433"/>
      <c r="D25" s="433"/>
      <c r="E25" s="433"/>
      <c r="F25" s="433"/>
      <c r="G25" s="433"/>
      <c r="H25" s="434"/>
      <c r="I25" s="183">
        <f>SUM(I23:I24)</f>
        <v>0</v>
      </c>
    </row>
    <row r="26" spans="1:9" s="135" customFormat="1">
      <c r="A26" s="239">
        <v>3</v>
      </c>
      <c r="B26" s="429" t="s">
        <v>320</v>
      </c>
      <c r="C26" s="430"/>
      <c r="D26" s="430"/>
      <c r="E26" s="430"/>
      <c r="F26" s="430"/>
      <c r="G26" s="430"/>
      <c r="H26" s="430"/>
      <c r="I26" s="431"/>
    </row>
    <row r="27" spans="1:9" s="135" customFormat="1">
      <c r="A27" s="237" t="s">
        <v>135</v>
      </c>
      <c r="B27" s="426" t="s">
        <v>322</v>
      </c>
      <c r="C27" s="427"/>
      <c r="D27" s="427"/>
      <c r="E27" s="427"/>
      <c r="F27" s="427"/>
      <c r="G27" s="427"/>
      <c r="H27" s="427"/>
      <c r="I27" s="428"/>
    </row>
    <row r="28" spans="1:9" s="135" customFormat="1" ht="33.75">
      <c r="A28" s="136" t="s">
        <v>254</v>
      </c>
      <c r="B28" s="137" t="s">
        <v>141</v>
      </c>
      <c r="C28" s="137" t="s">
        <v>142</v>
      </c>
      <c r="D28" s="138" t="s">
        <v>143</v>
      </c>
      <c r="E28" s="139" t="s">
        <v>140</v>
      </c>
      <c r="F28" s="232">
        <f>0.8*0.6</f>
        <v>0.48</v>
      </c>
      <c r="G28" s="141"/>
      <c r="H28" s="140">
        <f>G28*(1+$I$9)</f>
        <v>0</v>
      </c>
      <c r="I28" s="141">
        <f>TRUNC(F28*H28,2)</f>
        <v>0</v>
      </c>
    </row>
    <row r="29" spans="1:9" s="135" customFormat="1" ht="12.75" customHeight="1">
      <c r="A29" s="432" t="s">
        <v>325</v>
      </c>
      <c r="B29" s="433"/>
      <c r="C29" s="433"/>
      <c r="D29" s="433"/>
      <c r="E29" s="433"/>
      <c r="F29" s="433"/>
      <c r="G29" s="433"/>
      <c r="H29" s="434"/>
      <c r="I29" s="183">
        <f>SUM(I27:I28)</f>
        <v>0</v>
      </c>
    </row>
    <row r="30" spans="1:9" s="135" customFormat="1">
      <c r="A30" s="239">
        <v>4</v>
      </c>
      <c r="B30" s="429" t="s">
        <v>328</v>
      </c>
      <c r="C30" s="430"/>
      <c r="D30" s="430"/>
      <c r="E30" s="430"/>
      <c r="F30" s="430"/>
      <c r="G30" s="430"/>
      <c r="H30" s="430"/>
      <c r="I30" s="431"/>
    </row>
    <row r="31" spans="1:9" s="135" customFormat="1">
      <c r="A31" s="237" t="s">
        <v>136</v>
      </c>
      <c r="B31" s="426" t="s">
        <v>330</v>
      </c>
      <c r="C31" s="427"/>
      <c r="D31" s="427"/>
      <c r="E31" s="427"/>
      <c r="F31" s="427"/>
      <c r="G31" s="427"/>
      <c r="H31" s="427"/>
      <c r="I31" s="428"/>
    </row>
    <row r="32" spans="1:9" s="135" customFormat="1">
      <c r="A32" s="136" t="s">
        <v>258</v>
      </c>
      <c r="B32" s="153">
        <v>70010008</v>
      </c>
      <c r="C32" s="137" t="s">
        <v>142</v>
      </c>
      <c r="D32" s="243" t="s">
        <v>329</v>
      </c>
      <c r="E32" s="244" t="s">
        <v>331</v>
      </c>
      <c r="F32" s="232">
        <v>1</v>
      </c>
      <c r="G32" s="326"/>
      <c r="H32" s="140">
        <f>G32*(1+$I$9)</f>
        <v>0</v>
      </c>
      <c r="I32" s="141">
        <f t="shared" ref="I32:I36" si="3">TRUNC(F32*H32,2)</f>
        <v>0</v>
      </c>
    </row>
    <row r="33" spans="1:9" s="135" customFormat="1">
      <c r="A33" s="237" t="s">
        <v>332</v>
      </c>
      <c r="B33" s="426" t="s">
        <v>333</v>
      </c>
      <c r="C33" s="427"/>
      <c r="D33" s="427"/>
      <c r="E33" s="427"/>
      <c r="F33" s="427"/>
      <c r="G33" s="427"/>
      <c r="H33" s="427"/>
      <c r="I33" s="428"/>
    </row>
    <row r="34" spans="1:9" s="135" customFormat="1">
      <c r="A34" s="136" t="s">
        <v>338</v>
      </c>
      <c r="B34" s="153">
        <v>70010009</v>
      </c>
      <c r="C34" s="137" t="s">
        <v>142</v>
      </c>
      <c r="D34" s="242" t="s">
        <v>334</v>
      </c>
      <c r="E34" s="244" t="s">
        <v>331</v>
      </c>
      <c r="F34" s="232">
        <v>1</v>
      </c>
      <c r="G34" s="326"/>
      <c r="H34" s="140">
        <f>G34*(1+$I$9)</f>
        <v>0</v>
      </c>
      <c r="I34" s="141">
        <f t="shared" si="3"/>
        <v>0</v>
      </c>
    </row>
    <row r="35" spans="1:9" s="135" customFormat="1">
      <c r="A35" s="237" t="s">
        <v>335</v>
      </c>
      <c r="B35" s="426" t="s">
        <v>336</v>
      </c>
      <c r="C35" s="427"/>
      <c r="D35" s="427"/>
      <c r="E35" s="427"/>
      <c r="F35" s="427"/>
      <c r="G35" s="427"/>
      <c r="H35" s="427"/>
      <c r="I35" s="428"/>
    </row>
    <row r="36" spans="1:9" s="135" customFormat="1" ht="33.75">
      <c r="A36" s="136" t="s">
        <v>339</v>
      </c>
      <c r="B36" s="153">
        <v>70180006</v>
      </c>
      <c r="C36" s="137" t="s">
        <v>142</v>
      </c>
      <c r="D36" s="138" t="s">
        <v>337</v>
      </c>
      <c r="E36" s="139" t="s">
        <v>5</v>
      </c>
      <c r="F36" s="232">
        <f>MACROS!F27+MACROS!F57+MACROS!F58+MACROS!F92+MACROS!F93+MACROS!F112+MACROS!F131+MACROS!F152+MACROS!F183+MACROS!F205</f>
        <v>12</v>
      </c>
      <c r="G36" s="326"/>
      <c r="H36" s="140">
        <f>G36*(1+$I$9)</f>
        <v>0</v>
      </c>
      <c r="I36" s="141">
        <f t="shared" si="3"/>
        <v>0</v>
      </c>
    </row>
    <row r="37" spans="1:9" s="135" customFormat="1" ht="12.75" customHeight="1">
      <c r="A37" s="432" t="s">
        <v>325</v>
      </c>
      <c r="B37" s="433"/>
      <c r="C37" s="433"/>
      <c r="D37" s="433"/>
      <c r="E37" s="433"/>
      <c r="F37" s="433"/>
      <c r="G37" s="433"/>
      <c r="H37" s="434"/>
      <c r="I37" s="183">
        <f>SUM(I32:I36)</f>
        <v>0</v>
      </c>
    </row>
    <row r="38" spans="1:9" ht="18" customHeight="1">
      <c r="A38" s="423" t="s">
        <v>315</v>
      </c>
      <c r="B38" s="424"/>
      <c r="C38" s="424"/>
      <c r="D38" s="424"/>
      <c r="E38" s="424"/>
      <c r="F38" s="424"/>
      <c r="G38" s="424"/>
      <c r="H38" s="425"/>
      <c r="I38" s="257">
        <f>I21+I25+I29+I37</f>
        <v>0</v>
      </c>
    </row>
    <row r="41" spans="1:9">
      <c r="I41" s="148"/>
    </row>
    <row r="65327" spans="1:9" s="149" customFormat="1">
      <c r="A65327" s="143"/>
      <c r="B65327" s="144"/>
      <c r="C65327" s="180"/>
      <c r="D65327" s="144"/>
      <c r="E65327" s="145"/>
      <c r="F65327" s="146"/>
      <c r="G65327" s="142"/>
      <c r="H65327" s="142"/>
      <c r="I65327" s="147"/>
    </row>
    <row r="65328" spans="1:9" s="149" customFormat="1">
      <c r="A65328" s="143"/>
      <c r="B65328" s="144"/>
      <c r="C65328" s="180"/>
      <c r="D65328" s="144"/>
      <c r="E65328" s="145"/>
      <c r="F65328" s="146"/>
      <c r="G65328" s="142"/>
      <c r="H65328" s="142"/>
      <c r="I65328" s="147"/>
    </row>
    <row r="65329" spans="1:9" s="149" customFormat="1">
      <c r="A65329" s="143"/>
      <c r="B65329" s="144"/>
      <c r="C65329" s="180"/>
      <c r="D65329" s="144"/>
      <c r="E65329" s="145"/>
      <c r="F65329" s="146"/>
      <c r="G65329" s="142"/>
      <c r="H65329" s="142"/>
      <c r="I65329" s="147"/>
    </row>
    <row r="65330" spans="1:9" s="149" customFormat="1">
      <c r="A65330" s="143"/>
      <c r="B65330" s="144"/>
      <c r="C65330" s="180"/>
      <c r="D65330" s="144"/>
      <c r="E65330" s="145"/>
      <c r="F65330" s="146"/>
      <c r="G65330" s="142"/>
      <c r="H65330" s="142"/>
      <c r="I65330" s="147"/>
    </row>
    <row r="65331" spans="1:9" s="149" customFormat="1">
      <c r="A65331" s="143"/>
      <c r="B65331" s="144"/>
      <c r="C65331" s="180"/>
      <c r="D65331" s="144"/>
      <c r="E65331" s="145"/>
      <c r="F65331" s="146"/>
      <c r="G65331" s="142"/>
      <c r="H65331" s="142"/>
      <c r="I65331" s="147"/>
    </row>
    <row r="65332" spans="1:9" s="149" customFormat="1">
      <c r="A65332" s="143"/>
      <c r="B65332" s="144"/>
      <c r="C65332" s="180"/>
      <c r="D65332" s="144"/>
      <c r="E65332" s="145"/>
      <c r="F65332" s="146"/>
      <c r="G65332" s="142"/>
      <c r="H65332" s="142"/>
      <c r="I65332" s="147"/>
    </row>
    <row r="65333" spans="1:9" s="149" customFormat="1">
      <c r="A65333" s="143"/>
      <c r="B65333" s="144"/>
      <c r="C65333" s="180"/>
      <c r="D65333" s="144"/>
      <c r="E65333" s="145"/>
      <c r="F65333" s="146"/>
      <c r="G65333" s="142"/>
      <c r="H65333" s="142"/>
      <c r="I65333" s="147"/>
    </row>
    <row r="65334" spans="1:9" s="149" customFormat="1">
      <c r="A65334" s="143"/>
      <c r="B65334" s="144"/>
      <c r="C65334" s="180"/>
      <c r="D65334" s="144"/>
      <c r="E65334" s="145"/>
      <c r="F65334" s="146"/>
      <c r="G65334" s="142"/>
      <c r="H65334" s="142"/>
      <c r="I65334" s="147"/>
    </row>
    <row r="65335" spans="1:9" s="149" customFormat="1">
      <c r="A65335" s="143"/>
      <c r="B65335" s="144"/>
      <c r="C65335" s="180"/>
      <c r="D65335" s="144"/>
      <c r="E65335" s="145"/>
      <c r="F65335" s="146"/>
      <c r="G65335" s="142"/>
      <c r="H65335" s="142"/>
      <c r="I65335" s="147"/>
    </row>
    <row r="65336" spans="1:9" s="149" customFormat="1">
      <c r="A65336" s="143"/>
      <c r="B65336" s="144"/>
      <c r="C65336" s="180"/>
      <c r="D65336" s="144"/>
      <c r="E65336" s="145"/>
      <c r="F65336" s="146"/>
      <c r="G65336" s="142"/>
      <c r="H65336" s="142"/>
      <c r="I65336" s="147"/>
    </row>
    <row r="65337" spans="1:9" s="149" customFormat="1">
      <c r="A65337" s="143"/>
      <c r="B65337" s="144"/>
      <c r="C65337" s="180"/>
      <c r="D65337" s="144"/>
      <c r="E65337" s="145"/>
      <c r="F65337" s="146"/>
      <c r="G65337" s="142"/>
      <c r="H65337" s="142"/>
      <c r="I65337" s="147"/>
    </row>
    <row r="65338" spans="1:9" s="149" customFormat="1">
      <c r="A65338" s="143"/>
      <c r="B65338" s="144"/>
      <c r="C65338" s="180"/>
      <c r="D65338" s="144"/>
      <c r="E65338" s="145"/>
      <c r="F65338" s="146"/>
      <c r="G65338" s="142"/>
      <c r="H65338" s="142"/>
      <c r="I65338" s="147"/>
    </row>
    <row r="65339" spans="1:9" s="149" customFormat="1">
      <c r="A65339" s="143"/>
      <c r="B65339" s="144"/>
      <c r="C65339" s="180"/>
      <c r="D65339" s="144"/>
      <c r="E65339" s="145"/>
      <c r="F65339" s="146"/>
      <c r="G65339" s="142"/>
      <c r="H65339" s="142"/>
      <c r="I65339" s="147"/>
    </row>
    <row r="65340" spans="1:9" s="149" customFormat="1">
      <c r="A65340" s="143"/>
      <c r="B65340" s="144"/>
      <c r="C65340" s="180"/>
      <c r="D65340" s="144"/>
      <c r="E65340" s="145"/>
      <c r="F65340" s="146"/>
      <c r="G65340" s="142"/>
      <c r="H65340" s="142"/>
      <c r="I65340" s="147"/>
    </row>
    <row r="65341" spans="1:9" s="149" customFormat="1">
      <c r="A65341" s="143"/>
      <c r="B65341" s="144"/>
      <c r="C65341" s="180"/>
      <c r="D65341" s="144"/>
      <c r="E65341" s="145"/>
      <c r="F65341" s="146"/>
      <c r="G65341" s="142"/>
      <c r="H65341" s="142"/>
      <c r="I65341" s="147"/>
    </row>
    <row r="65342" spans="1:9" s="149" customFormat="1">
      <c r="A65342" s="143"/>
      <c r="B65342" s="144"/>
      <c r="C65342" s="180"/>
      <c r="D65342" s="144"/>
      <c r="E65342" s="145"/>
      <c r="F65342" s="146"/>
      <c r="G65342" s="142"/>
      <c r="H65342" s="142"/>
      <c r="I65342" s="147"/>
    </row>
    <row r="65343" spans="1:9" s="149" customFormat="1">
      <c r="A65343" s="143"/>
      <c r="B65343" s="144"/>
      <c r="C65343" s="180"/>
      <c r="D65343" s="144"/>
      <c r="E65343" s="145"/>
      <c r="F65343" s="146"/>
      <c r="G65343" s="142"/>
      <c r="H65343" s="142"/>
      <c r="I65343" s="147"/>
    </row>
    <row r="65344" spans="1:9" s="149" customFormat="1">
      <c r="A65344" s="143"/>
      <c r="B65344" s="144"/>
      <c r="C65344" s="180"/>
      <c r="D65344" s="144"/>
      <c r="E65344" s="145"/>
      <c r="F65344" s="146"/>
      <c r="G65344" s="142"/>
      <c r="H65344" s="142"/>
      <c r="I65344" s="147"/>
    </row>
    <row r="65345" spans="1:9" s="149" customFormat="1">
      <c r="A65345" s="143"/>
      <c r="B65345" s="144"/>
      <c r="C65345" s="180"/>
      <c r="D65345" s="144"/>
      <c r="E65345" s="145"/>
      <c r="F65345" s="146"/>
      <c r="G65345" s="142"/>
      <c r="H65345" s="142"/>
      <c r="I65345" s="147"/>
    </row>
    <row r="65346" spans="1:9" s="149" customFormat="1">
      <c r="A65346" s="143"/>
      <c r="B65346" s="144"/>
      <c r="C65346" s="180"/>
      <c r="D65346" s="144"/>
      <c r="E65346" s="145"/>
      <c r="F65346" s="146"/>
      <c r="G65346" s="142"/>
      <c r="H65346" s="142"/>
      <c r="I65346" s="147"/>
    </row>
    <row r="65347" spans="1:9" s="149" customFormat="1">
      <c r="A65347" s="143"/>
      <c r="B65347" s="144"/>
      <c r="C65347" s="180"/>
      <c r="D65347" s="144"/>
      <c r="E65347" s="145"/>
      <c r="F65347" s="146"/>
      <c r="G65347" s="142"/>
      <c r="H65347" s="142"/>
      <c r="I65347" s="147"/>
    </row>
    <row r="65348" spans="1:9" s="149" customFormat="1">
      <c r="A65348" s="143"/>
      <c r="B65348" s="144"/>
      <c r="C65348" s="180"/>
      <c r="D65348" s="144"/>
      <c r="E65348" s="145"/>
      <c r="F65348" s="146"/>
      <c r="G65348" s="142"/>
      <c r="H65348" s="142"/>
      <c r="I65348" s="147"/>
    </row>
    <row r="65349" spans="1:9" s="149" customFormat="1">
      <c r="A65349" s="143"/>
      <c r="B65349" s="144"/>
      <c r="C65349" s="180"/>
      <c r="D65349" s="144"/>
      <c r="E65349" s="145"/>
      <c r="F65349" s="146"/>
      <c r="G65349" s="142"/>
      <c r="H65349" s="142"/>
      <c r="I65349" s="147"/>
    </row>
    <row r="65350" spans="1:9" s="149" customFormat="1">
      <c r="A65350" s="143"/>
      <c r="B65350" s="144"/>
      <c r="C65350" s="180"/>
      <c r="D65350" s="144"/>
      <c r="E65350" s="145"/>
      <c r="F65350" s="146"/>
      <c r="G65350" s="142"/>
      <c r="H65350" s="142"/>
      <c r="I65350" s="147"/>
    </row>
    <row r="65351" spans="1:9" s="149" customFormat="1">
      <c r="A65351" s="143"/>
      <c r="B65351" s="144"/>
      <c r="C65351" s="180"/>
      <c r="D65351" s="144"/>
      <c r="E65351" s="145"/>
      <c r="F65351" s="146"/>
      <c r="G65351" s="142"/>
      <c r="H65351" s="142"/>
      <c r="I65351" s="147"/>
    </row>
    <row r="65352" spans="1:9" s="149" customFormat="1">
      <c r="A65352" s="143"/>
      <c r="B65352" s="144"/>
      <c r="C65352" s="180"/>
      <c r="D65352" s="144"/>
      <c r="E65352" s="145"/>
      <c r="F65352" s="146"/>
      <c r="G65352" s="142"/>
      <c r="H65352" s="142"/>
      <c r="I65352" s="147"/>
    </row>
    <row r="65353" spans="1:9" s="149" customFormat="1">
      <c r="A65353" s="143"/>
      <c r="B65353" s="144"/>
      <c r="C65353" s="180"/>
      <c r="D65353" s="144"/>
      <c r="E65353" s="145"/>
      <c r="F65353" s="146"/>
      <c r="G65353" s="142"/>
      <c r="H65353" s="142"/>
      <c r="I65353" s="147"/>
    </row>
    <row r="65354" spans="1:9" s="149" customFormat="1">
      <c r="A65354" s="143"/>
      <c r="B65354" s="144"/>
      <c r="C65354" s="180"/>
      <c r="D65354" s="144"/>
      <c r="E65354" s="145"/>
      <c r="F65354" s="146"/>
      <c r="G65354" s="142"/>
      <c r="H65354" s="142"/>
      <c r="I65354" s="147"/>
    </row>
    <row r="65355" spans="1:9" s="149" customFormat="1">
      <c r="A65355" s="143"/>
      <c r="B65355" s="144"/>
      <c r="C65355" s="180"/>
      <c r="D65355" s="144"/>
      <c r="E65355" s="145"/>
      <c r="F65355" s="146"/>
      <c r="G65355" s="142"/>
      <c r="H65355" s="142"/>
      <c r="I65355" s="147"/>
    </row>
    <row r="65356" spans="1:9" s="149" customFormat="1">
      <c r="A65356" s="143"/>
      <c r="B65356" s="144"/>
      <c r="C65356" s="180"/>
      <c r="D65356" s="144"/>
      <c r="E65356" s="145"/>
      <c r="F65356" s="146"/>
      <c r="G65356" s="142"/>
      <c r="H65356" s="142"/>
      <c r="I65356" s="147"/>
    </row>
    <row r="65357" spans="1:9" s="149" customFormat="1">
      <c r="A65357" s="143"/>
      <c r="B65357" s="144"/>
      <c r="C65357" s="180"/>
      <c r="D65357" s="144"/>
      <c r="E65357" s="145"/>
      <c r="F65357" s="146"/>
      <c r="G65357" s="142"/>
      <c r="H65357" s="142"/>
      <c r="I65357" s="147"/>
    </row>
    <row r="65358" spans="1:9" s="149" customFormat="1">
      <c r="A65358" s="143"/>
      <c r="B65358" s="144"/>
      <c r="C65358" s="180"/>
      <c r="D65358" s="144"/>
      <c r="E65358" s="145"/>
      <c r="F65358" s="146"/>
      <c r="G65358" s="142"/>
      <c r="H65358" s="142"/>
      <c r="I65358" s="147"/>
    </row>
    <row r="65359" spans="1:9" s="149" customFormat="1">
      <c r="A65359" s="143"/>
      <c r="B65359" s="144"/>
      <c r="C65359" s="180"/>
      <c r="D65359" s="144"/>
      <c r="E65359" s="145"/>
      <c r="F65359" s="146"/>
      <c r="G65359" s="142"/>
      <c r="H65359" s="142"/>
      <c r="I65359" s="147"/>
    </row>
    <row r="65360" spans="1:9" s="149" customFormat="1">
      <c r="A65360" s="143"/>
      <c r="B65360" s="144"/>
      <c r="C65360" s="180"/>
      <c r="D65360" s="144"/>
      <c r="E65360" s="145"/>
      <c r="F65360" s="146"/>
      <c r="G65360" s="142"/>
      <c r="H65360" s="142"/>
      <c r="I65360" s="147"/>
    </row>
    <row r="65361" spans="1:9" s="149" customFormat="1">
      <c r="A65361" s="143"/>
      <c r="B65361" s="144"/>
      <c r="C65361" s="180"/>
      <c r="D65361" s="144"/>
      <c r="E65361" s="145"/>
      <c r="F65361" s="146"/>
      <c r="G65361" s="142"/>
      <c r="H65361" s="142"/>
      <c r="I65361" s="147"/>
    </row>
    <row r="65362" spans="1:9" s="149" customFormat="1">
      <c r="A65362" s="143"/>
      <c r="B65362" s="144"/>
      <c r="C65362" s="180"/>
      <c r="D65362" s="144"/>
      <c r="E65362" s="145"/>
      <c r="F65362" s="146"/>
      <c r="G65362" s="142"/>
      <c r="H65362" s="142"/>
      <c r="I65362" s="147"/>
    </row>
    <row r="65363" spans="1:9" s="149" customFormat="1">
      <c r="A65363" s="143"/>
      <c r="B65363" s="144"/>
      <c r="C65363" s="180"/>
      <c r="D65363" s="144"/>
      <c r="E65363" s="145"/>
      <c r="F65363" s="146"/>
      <c r="G65363" s="142"/>
      <c r="H65363" s="142"/>
      <c r="I65363" s="147"/>
    </row>
    <row r="65364" spans="1:9" s="149" customFormat="1">
      <c r="A65364" s="143"/>
      <c r="B65364" s="144"/>
      <c r="C65364" s="180"/>
      <c r="D65364" s="144"/>
      <c r="E65364" s="145"/>
      <c r="F65364" s="146"/>
      <c r="G65364" s="142"/>
      <c r="H65364" s="142"/>
      <c r="I65364" s="147"/>
    </row>
    <row r="65365" spans="1:9" s="149" customFormat="1">
      <c r="A65365" s="143"/>
      <c r="B65365" s="144"/>
      <c r="C65365" s="180"/>
      <c r="D65365" s="144"/>
      <c r="E65365" s="145"/>
      <c r="F65365" s="146"/>
      <c r="G65365" s="142"/>
      <c r="H65365" s="142"/>
      <c r="I65365" s="147"/>
    </row>
    <row r="65366" spans="1:9" s="149" customFormat="1">
      <c r="A65366" s="143"/>
      <c r="B65366" s="144"/>
      <c r="C65366" s="180"/>
      <c r="D65366" s="144"/>
      <c r="E65366" s="145"/>
      <c r="F65366" s="146"/>
      <c r="G65366" s="142"/>
      <c r="H65366" s="142"/>
      <c r="I65366" s="147"/>
    </row>
    <row r="65367" spans="1:9" s="149" customFormat="1">
      <c r="A65367" s="143"/>
      <c r="B65367" s="144"/>
      <c r="C65367" s="180"/>
      <c r="D65367" s="144"/>
      <c r="E65367" s="145"/>
      <c r="F65367" s="146"/>
      <c r="G65367" s="142"/>
      <c r="H65367" s="142"/>
      <c r="I65367" s="147"/>
    </row>
    <row r="65368" spans="1:9" s="149" customFormat="1">
      <c r="A65368" s="143"/>
      <c r="B65368" s="144"/>
      <c r="C65368" s="180"/>
      <c r="D65368" s="144"/>
      <c r="E65368" s="145"/>
      <c r="F65368" s="146"/>
      <c r="G65368" s="142"/>
      <c r="H65368" s="142"/>
      <c r="I65368" s="147"/>
    </row>
    <row r="65369" spans="1:9" s="149" customFormat="1">
      <c r="A65369" s="143"/>
      <c r="B65369" s="144"/>
      <c r="C65369" s="180"/>
      <c r="D65369" s="144"/>
      <c r="E65369" s="145"/>
      <c r="F65369" s="146"/>
      <c r="G65369" s="142"/>
      <c r="H65369" s="142"/>
      <c r="I65369" s="147"/>
    </row>
    <row r="65370" spans="1:9" s="149" customFormat="1">
      <c r="A65370" s="143"/>
      <c r="B65370" s="144"/>
      <c r="C65370" s="180"/>
      <c r="D65370" s="144"/>
      <c r="E65370" s="145"/>
      <c r="F65370" s="146"/>
      <c r="G65370" s="142"/>
      <c r="H65370" s="142"/>
      <c r="I65370" s="147"/>
    </row>
    <row r="65371" spans="1:9" s="149" customFormat="1">
      <c r="A65371" s="143"/>
      <c r="B65371" s="144"/>
      <c r="C65371" s="180"/>
      <c r="D65371" s="144"/>
      <c r="E65371" s="145"/>
      <c r="F65371" s="146"/>
      <c r="G65371" s="142"/>
      <c r="H65371" s="142"/>
      <c r="I65371" s="147"/>
    </row>
    <row r="65372" spans="1:9" s="149" customFormat="1">
      <c r="A65372" s="143"/>
      <c r="B65372" s="144"/>
      <c r="C65372" s="180"/>
      <c r="D65372" s="144"/>
      <c r="E65372" s="145"/>
      <c r="F65372" s="146"/>
      <c r="G65372" s="142"/>
      <c r="H65372" s="142"/>
      <c r="I65372" s="147"/>
    </row>
    <row r="65373" spans="1:9" s="149" customFormat="1">
      <c r="A65373" s="143"/>
      <c r="B65373" s="144"/>
      <c r="C65373" s="180"/>
      <c r="D65373" s="144"/>
      <c r="E65373" s="145"/>
      <c r="F65373" s="146"/>
      <c r="G65373" s="142"/>
      <c r="H65373" s="142"/>
      <c r="I65373" s="147"/>
    </row>
    <row r="65374" spans="1:9" s="149" customFormat="1">
      <c r="A65374" s="143"/>
      <c r="B65374" s="144"/>
      <c r="C65374" s="180"/>
      <c r="D65374" s="144"/>
      <c r="E65374" s="145"/>
      <c r="F65374" s="146"/>
      <c r="G65374" s="142"/>
      <c r="H65374" s="142"/>
      <c r="I65374" s="147"/>
    </row>
    <row r="65375" spans="1:9" s="149" customFormat="1">
      <c r="A65375" s="143"/>
      <c r="B65375" s="144"/>
      <c r="C65375" s="180"/>
      <c r="D65375" s="144"/>
      <c r="E65375" s="145"/>
      <c r="F65375" s="146"/>
      <c r="G65375" s="142"/>
      <c r="H65375" s="142"/>
      <c r="I65375" s="147"/>
    </row>
    <row r="65376" spans="1:9" s="149" customFormat="1">
      <c r="A65376" s="143"/>
      <c r="B65376" s="144"/>
      <c r="C65376" s="180"/>
      <c r="D65376" s="144"/>
      <c r="E65376" s="145"/>
      <c r="F65376" s="146"/>
      <c r="G65376" s="142"/>
      <c r="H65376" s="142"/>
      <c r="I65376" s="147"/>
    </row>
    <row r="65377" spans="1:9" s="149" customFormat="1">
      <c r="A65377" s="143"/>
      <c r="B65377" s="144"/>
      <c r="C65377" s="180"/>
      <c r="D65377" s="144"/>
      <c r="E65377" s="145"/>
      <c r="F65377" s="146"/>
      <c r="G65377" s="142"/>
      <c r="H65377" s="142"/>
      <c r="I65377" s="147"/>
    </row>
    <row r="65378" spans="1:9" s="149" customFormat="1">
      <c r="A65378" s="143"/>
      <c r="B65378" s="144"/>
      <c r="C65378" s="180"/>
      <c r="D65378" s="144"/>
      <c r="E65378" s="145"/>
      <c r="F65378" s="146"/>
      <c r="G65378" s="142"/>
      <c r="H65378" s="142"/>
      <c r="I65378" s="147"/>
    </row>
    <row r="65379" spans="1:9" s="149" customFormat="1">
      <c r="A65379" s="143"/>
      <c r="B65379" s="144"/>
      <c r="C65379" s="180"/>
      <c r="D65379" s="144"/>
      <c r="E65379" s="145"/>
      <c r="F65379" s="146"/>
      <c r="G65379" s="142"/>
      <c r="H65379" s="142"/>
      <c r="I65379" s="147"/>
    </row>
    <row r="65380" spans="1:9" s="149" customFormat="1">
      <c r="A65380" s="143"/>
      <c r="B65380" s="144"/>
      <c r="C65380" s="180"/>
      <c r="D65380" s="144"/>
      <c r="E65380" s="145"/>
      <c r="F65380" s="146"/>
      <c r="G65380" s="142"/>
      <c r="H65380" s="142"/>
      <c r="I65380" s="147"/>
    </row>
    <row r="65381" spans="1:9" s="149" customFormat="1">
      <c r="A65381" s="143"/>
      <c r="B65381" s="144"/>
      <c r="C65381" s="180"/>
      <c r="D65381" s="144"/>
      <c r="E65381" s="145"/>
      <c r="F65381" s="146"/>
      <c r="G65381" s="142"/>
      <c r="H65381" s="142"/>
      <c r="I65381" s="147"/>
    </row>
    <row r="65382" spans="1:9" s="149" customFormat="1">
      <c r="A65382" s="143"/>
      <c r="B65382" s="144"/>
      <c r="C65382" s="180"/>
      <c r="D65382" s="144"/>
      <c r="E65382" s="145"/>
      <c r="F65382" s="146"/>
      <c r="G65382" s="142"/>
      <c r="H65382" s="142"/>
      <c r="I65382" s="147"/>
    </row>
    <row r="65383" spans="1:9" s="149" customFormat="1">
      <c r="A65383" s="143"/>
      <c r="B65383" s="144"/>
      <c r="C65383" s="180"/>
      <c r="D65383" s="144"/>
      <c r="E65383" s="145"/>
      <c r="F65383" s="146"/>
      <c r="G65383" s="142"/>
      <c r="H65383" s="142"/>
      <c r="I65383" s="147"/>
    </row>
    <row r="65384" spans="1:9" s="149" customFormat="1">
      <c r="A65384" s="143"/>
      <c r="B65384" s="144"/>
      <c r="C65384" s="180"/>
      <c r="D65384" s="144"/>
      <c r="E65384" s="145"/>
      <c r="F65384" s="146"/>
      <c r="G65384" s="142"/>
      <c r="H65384" s="142"/>
      <c r="I65384" s="147"/>
    </row>
    <row r="65385" spans="1:9" s="149" customFormat="1">
      <c r="A65385" s="143"/>
      <c r="B65385" s="144"/>
      <c r="C65385" s="180"/>
      <c r="D65385" s="144"/>
      <c r="E65385" s="145"/>
      <c r="F65385" s="146"/>
      <c r="G65385" s="142"/>
      <c r="H65385" s="142"/>
      <c r="I65385" s="147"/>
    </row>
    <row r="65386" spans="1:9" s="149" customFormat="1">
      <c r="A65386" s="143"/>
      <c r="B65386" s="144"/>
      <c r="C65386" s="180"/>
      <c r="D65386" s="144"/>
      <c r="E65386" s="145"/>
      <c r="F65386" s="146"/>
      <c r="G65386" s="142"/>
      <c r="H65386" s="142"/>
      <c r="I65386" s="147"/>
    </row>
    <row r="65387" spans="1:9" s="149" customFormat="1">
      <c r="A65387" s="143"/>
      <c r="B65387" s="144"/>
      <c r="C65387" s="180"/>
      <c r="D65387" s="144"/>
      <c r="E65387" s="145"/>
      <c r="F65387" s="146"/>
      <c r="G65387" s="142"/>
      <c r="H65387" s="142"/>
      <c r="I65387" s="147"/>
    </row>
  </sheetData>
  <mergeCells count="24">
    <mergeCell ref="G9:H9"/>
    <mergeCell ref="B11:I11"/>
    <mergeCell ref="B1:I1"/>
    <mergeCell ref="G8:H8"/>
    <mergeCell ref="C2:I2"/>
    <mergeCell ref="C4:I5"/>
    <mergeCell ref="C3:I3"/>
    <mergeCell ref="C6:I6"/>
    <mergeCell ref="C7:I7"/>
    <mergeCell ref="A38:H38"/>
    <mergeCell ref="B12:I12"/>
    <mergeCell ref="B19:I19"/>
    <mergeCell ref="B26:I26"/>
    <mergeCell ref="A29:H29"/>
    <mergeCell ref="B22:I22"/>
    <mergeCell ref="B27:I27"/>
    <mergeCell ref="B23:I23"/>
    <mergeCell ref="A21:H21"/>
    <mergeCell ref="A25:H25"/>
    <mergeCell ref="B30:I30"/>
    <mergeCell ref="B31:I31"/>
    <mergeCell ref="A37:H37"/>
    <mergeCell ref="B33:I33"/>
    <mergeCell ref="B35:I35"/>
  </mergeCells>
  <pageMargins left="0.78740157480314965" right="0.19685039370078741" top="0.39370078740157483" bottom="0.59055118110236227" header="0.31496062992125984" footer="0.39370078740157483"/>
  <pageSetup paperSize="9" orientation="portrait" r:id="rId1"/>
  <headerFooter>
    <oddFooter>&amp;C&amp;"Arial,Negrito"&amp;9Página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I65606"/>
  <sheetViews>
    <sheetView showGridLines="0" workbookViewId="0">
      <selection activeCell="L22" sqref="L22"/>
    </sheetView>
  </sheetViews>
  <sheetFormatPr defaultColWidth="9.140625" defaultRowHeight="11.25"/>
  <cols>
    <col min="1" max="1" width="7.28515625" style="143" customWidth="1"/>
    <col min="2" max="2" width="8.42578125" style="144" customWidth="1"/>
    <col min="3" max="3" width="7.5703125" style="180" customWidth="1"/>
    <col min="4" max="4" width="26.85546875" style="144" customWidth="1"/>
    <col min="5" max="5" width="5.85546875" style="145" customWidth="1"/>
    <col min="6" max="6" width="6.7109375" style="146" bestFit="1" customWidth="1"/>
    <col min="7" max="8" width="10.28515625" style="142" customWidth="1"/>
    <col min="9" max="9" width="11.140625" style="147" customWidth="1"/>
    <col min="10" max="10" width="11.28515625" style="129" customWidth="1"/>
    <col min="11" max="16384" width="9.140625" style="129"/>
  </cols>
  <sheetData>
    <row r="1" spans="1:9">
      <c r="A1" s="125"/>
      <c r="B1" s="399" t="str">
        <f>Resumo!B1</f>
        <v>____/___/2026</v>
      </c>
      <c r="C1" s="399"/>
      <c r="D1" s="399"/>
      <c r="E1" s="399"/>
      <c r="F1" s="399"/>
      <c r="G1" s="399"/>
      <c r="H1" s="399"/>
      <c r="I1" s="400"/>
    </row>
    <row r="2" spans="1:9" ht="15">
      <c r="A2" s="130"/>
      <c r="B2" s="131"/>
      <c r="C2" s="401" t="s">
        <v>156</v>
      </c>
      <c r="D2" s="401"/>
      <c r="E2" s="401"/>
      <c r="F2" s="401"/>
      <c r="G2" s="401"/>
      <c r="H2" s="401"/>
      <c r="I2" s="408"/>
    </row>
    <row r="3" spans="1:9" ht="15">
      <c r="A3" s="130"/>
      <c r="B3" s="131"/>
      <c r="C3" s="401" t="s">
        <v>157</v>
      </c>
      <c r="D3" s="401"/>
      <c r="E3" s="401"/>
      <c r="F3" s="401"/>
      <c r="G3" s="401"/>
      <c r="H3" s="401"/>
      <c r="I3" s="408"/>
    </row>
    <row r="4" spans="1:9">
      <c r="A4" s="130"/>
      <c r="B4" s="131"/>
      <c r="C4" s="401" t="str">
        <f>Resumo!B4</f>
        <v>FORNECIMENTO E INSTALAÇÃO DE MACRO MEDIDORES DE VAZÃO E VÁLVULAS REDUTORAS DE PRESSÃO E DELIMITAÇÃO DE ÁREAS DE INFLUÊNCIA</v>
      </c>
      <c r="D4" s="401"/>
      <c r="E4" s="401"/>
      <c r="F4" s="401"/>
      <c r="G4" s="401"/>
      <c r="H4" s="401"/>
      <c r="I4" s="408"/>
    </row>
    <row r="5" spans="1:9" ht="33" customHeight="1">
      <c r="A5" s="130"/>
      <c r="B5" s="131"/>
      <c r="C5" s="401"/>
      <c r="D5" s="401"/>
      <c r="E5" s="401"/>
      <c r="F5" s="401"/>
      <c r="G5" s="401"/>
      <c r="H5" s="401"/>
      <c r="I5" s="408"/>
    </row>
    <row r="6" spans="1:9" ht="15" customHeight="1">
      <c r="A6" s="130"/>
      <c r="B6" s="131"/>
      <c r="C6" s="404" t="str">
        <f>CANTEIRO!C6</f>
        <v>DATA BASE - REGIÃO: SABESP Jan/26; SINAPI/SP Jan/26; CDHU Jan/26; SBC Fev/26 ; PNPC</v>
      </c>
      <c r="D6" s="404"/>
      <c r="E6" s="404"/>
      <c r="F6" s="404"/>
      <c r="G6" s="404"/>
      <c r="H6" s="404"/>
      <c r="I6" s="405"/>
    </row>
    <row r="7" spans="1:9" ht="15">
      <c r="A7" s="130"/>
      <c r="B7" s="131"/>
      <c r="C7" s="401" t="s">
        <v>217</v>
      </c>
      <c r="D7" s="401"/>
      <c r="E7" s="401"/>
      <c r="F7" s="401"/>
      <c r="G7" s="401"/>
      <c r="H7" s="401"/>
      <c r="I7" s="408"/>
    </row>
    <row r="8" spans="1:9">
      <c r="A8" s="130"/>
      <c r="B8" s="131"/>
      <c r="C8" s="131"/>
      <c r="D8" s="132"/>
      <c r="E8" s="132"/>
      <c r="F8" s="132"/>
      <c r="G8" s="437" t="s">
        <v>191</v>
      </c>
      <c r="H8" s="438"/>
      <c r="I8" s="127">
        <v>0.92700000000000005</v>
      </c>
    </row>
    <row r="9" spans="1:9">
      <c r="A9" s="126"/>
      <c r="B9" s="131"/>
      <c r="C9" s="131"/>
      <c r="D9" s="132"/>
      <c r="E9" s="132"/>
      <c r="F9" s="133"/>
      <c r="G9" s="437" t="s">
        <v>195</v>
      </c>
      <c r="H9" s="438"/>
      <c r="I9" s="127">
        <v>0.26979999999999998</v>
      </c>
    </row>
    <row r="10" spans="1:9" s="135" customFormat="1" ht="16.5" customHeight="1">
      <c r="A10" s="445" t="s">
        <v>218</v>
      </c>
      <c r="B10" s="446"/>
      <c r="C10" s="446"/>
      <c r="D10" s="446"/>
      <c r="E10" s="446"/>
      <c r="F10" s="446"/>
      <c r="G10" s="446"/>
      <c r="H10" s="446"/>
      <c r="I10" s="447"/>
    </row>
    <row r="11" spans="1:9" s="135" customFormat="1" ht="16.5" customHeight="1">
      <c r="A11" s="445" t="s">
        <v>489</v>
      </c>
      <c r="B11" s="446"/>
      <c r="C11" s="446"/>
      <c r="D11" s="446"/>
      <c r="E11" s="446"/>
      <c r="F11" s="446"/>
      <c r="G11" s="446"/>
      <c r="H11" s="446"/>
      <c r="I11" s="447"/>
    </row>
    <row r="12" spans="1:9" s="134" customFormat="1" ht="33.75">
      <c r="A12" s="128" t="s">
        <v>1</v>
      </c>
      <c r="B12" s="128" t="s">
        <v>3</v>
      </c>
      <c r="C12" s="128" t="s">
        <v>15</v>
      </c>
      <c r="D12" s="128" t="s">
        <v>2</v>
      </c>
      <c r="E12" s="128" t="s">
        <v>316</v>
      </c>
      <c r="F12" s="185" t="s">
        <v>158</v>
      </c>
      <c r="G12" s="251" t="s">
        <v>159</v>
      </c>
      <c r="H12" s="251" t="s">
        <v>160</v>
      </c>
      <c r="I12" s="250" t="s">
        <v>161</v>
      </c>
    </row>
    <row r="13" spans="1:9" s="264" customFormat="1">
      <c r="A13" s="262">
        <v>1</v>
      </c>
      <c r="B13" s="448" t="s">
        <v>246</v>
      </c>
      <c r="C13" s="449"/>
      <c r="D13" s="449"/>
      <c r="E13" s="449"/>
      <c r="F13" s="449"/>
      <c r="G13" s="449"/>
      <c r="H13" s="449"/>
      <c r="I13" s="450"/>
    </row>
    <row r="14" spans="1:9" s="264" customFormat="1">
      <c r="A14" s="284" t="s">
        <v>4</v>
      </c>
      <c r="B14" s="451" t="s">
        <v>247</v>
      </c>
      <c r="C14" s="452"/>
      <c r="D14" s="452"/>
      <c r="E14" s="452"/>
      <c r="F14" s="452"/>
      <c r="G14" s="452"/>
      <c r="H14" s="452"/>
      <c r="I14" s="453"/>
    </row>
    <row r="15" spans="1:9" s="264" customFormat="1" ht="33.75">
      <c r="A15" s="215" t="s">
        <v>162</v>
      </c>
      <c r="B15" s="215">
        <v>70030060</v>
      </c>
      <c r="C15" s="215" t="s">
        <v>142</v>
      </c>
      <c r="D15" s="219" t="s">
        <v>249</v>
      </c>
      <c r="E15" s="215" t="s">
        <v>287</v>
      </c>
      <c r="F15" s="254">
        <f>2.9*2.9*2.6</f>
        <v>21.866</v>
      </c>
      <c r="G15" s="217"/>
      <c r="H15" s="140">
        <f>G15*(1+$I$9)</f>
        <v>0</v>
      </c>
      <c r="I15" s="216">
        <f>ROUND((F15*H15),2)</f>
        <v>0</v>
      </c>
    </row>
    <row r="16" spans="1:9" s="264" customFormat="1">
      <c r="A16" s="284" t="s">
        <v>123</v>
      </c>
      <c r="B16" s="451" t="s">
        <v>250</v>
      </c>
      <c r="C16" s="452"/>
      <c r="D16" s="452"/>
      <c r="E16" s="452"/>
      <c r="F16" s="452"/>
      <c r="G16" s="452"/>
      <c r="H16" s="452"/>
      <c r="I16" s="453"/>
    </row>
    <row r="17" spans="1:9" s="264" customFormat="1" ht="45">
      <c r="A17" s="215" t="s">
        <v>180</v>
      </c>
      <c r="B17" s="215">
        <v>70030020</v>
      </c>
      <c r="C17" s="215" t="s">
        <v>142</v>
      </c>
      <c r="D17" s="219" t="s">
        <v>252</v>
      </c>
      <c r="E17" s="215" t="s">
        <v>287</v>
      </c>
      <c r="F17" s="254">
        <f>F15-(1.9*1.9*2.6)</f>
        <v>12.48</v>
      </c>
      <c r="G17" s="217"/>
      <c r="H17" s="140">
        <f>G17*(1+$I$9)</f>
        <v>0</v>
      </c>
      <c r="I17" s="216">
        <f>ROUND((F17*H17),2)</f>
        <v>0</v>
      </c>
    </row>
    <row r="18" spans="1:9" s="264" customFormat="1" ht="12.75" customHeight="1">
      <c r="A18" s="442" t="str">
        <f>CONCATENATE("SUBTOTAL ",A13)</f>
        <v>SUBTOTAL 1</v>
      </c>
      <c r="B18" s="443"/>
      <c r="C18" s="443"/>
      <c r="D18" s="443"/>
      <c r="E18" s="443"/>
      <c r="F18" s="443"/>
      <c r="G18" s="443"/>
      <c r="H18" s="444"/>
      <c r="I18" s="265">
        <f>SUM(I15:I17)</f>
        <v>0</v>
      </c>
    </row>
    <row r="19" spans="1:9" s="264" customFormat="1">
      <c r="A19" s="262">
        <v>2</v>
      </c>
      <c r="B19" s="448" t="s">
        <v>490</v>
      </c>
      <c r="C19" s="449"/>
      <c r="D19" s="449"/>
      <c r="E19" s="449"/>
      <c r="F19" s="449"/>
      <c r="G19" s="449"/>
      <c r="H19" s="449"/>
      <c r="I19" s="450"/>
    </row>
    <row r="20" spans="1:9" s="264" customFormat="1">
      <c r="A20" s="284" t="s">
        <v>8</v>
      </c>
      <c r="B20" s="451" t="s">
        <v>491</v>
      </c>
      <c r="C20" s="452"/>
      <c r="D20" s="452"/>
      <c r="E20" s="452"/>
      <c r="F20" s="452"/>
      <c r="G20" s="452"/>
      <c r="H20" s="452"/>
      <c r="I20" s="453"/>
    </row>
    <row r="21" spans="1:9" s="135" customFormat="1" ht="22.5">
      <c r="A21" s="136" t="s">
        <v>248</v>
      </c>
      <c r="B21" s="238" t="s">
        <v>310</v>
      </c>
      <c r="C21" s="137" t="s">
        <v>142</v>
      </c>
      <c r="D21" s="162" t="s">
        <v>200</v>
      </c>
      <c r="E21" s="139" t="s">
        <v>5</v>
      </c>
      <c r="F21" s="247">
        <v>1</v>
      </c>
      <c r="G21" s="140"/>
      <c r="H21" s="140">
        <f>G21*(1+$I$9)</f>
        <v>0</v>
      </c>
      <c r="I21" s="141">
        <f t="shared" ref="I21:I27" si="0">TRUNC(F21*H21,2)</f>
        <v>0</v>
      </c>
    </row>
    <row r="22" spans="1:9" s="135" customFormat="1">
      <c r="A22" s="136" t="s">
        <v>494</v>
      </c>
      <c r="B22" s="153" t="s">
        <v>145</v>
      </c>
      <c r="C22" s="152" t="s">
        <v>236</v>
      </c>
      <c r="D22" s="162" t="s">
        <v>131</v>
      </c>
      <c r="E22" s="139" t="s">
        <v>5</v>
      </c>
      <c r="F22" s="247">
        <v>1</v>
      </c>
      <c r="G22" s="141"/>
      <c r="H22" s="140">
        <f t="shared" ref="H22:H23" si="1">G22*(1+$I$9)</f>
        <v>0</v>
      </c>
      <c r="I22" s="141">
        <f t="shared" si="0"/>
        <v>0</v>
      </c>
    </row>
    <row r="23" spans="1:9" s="135" customFormat="1" ht="22.5">
      <c r="A23" s="136" t="s">
        <v>495</v>
      </c>
      <c r="B23" s="153" t="s">
        <v>145</v>
      </c>
      <c r="C23" s="152" t="s">
        <v>236</v>
      </c>
      <c r="D23" s="162" t="s">
        <v>311</v>
      </c>
      <c r="E23" s="139" t="s">
        <v>5</v>
      </c>
      <c r="F23" s="247">
        <v>1</v>
      </c>
      <c r="G23" s="141"/>
      <c r="H23" s="140">
        <f t="shared" si="1"/>
        <v>0</v>
      </c>
      <c r="I23" s="141">
        <f t="shared" si="0"/>
        <v>0</v>
      </c>
    </row>
    <row r="24" spans="1:9" s="264" customFormat="1">
      <c r="A24" s="284" t="s">
        <v>9</v>
      </c>
      <c r="B24" s="451" t="s">
        <v>492</v>
      </c>
      <c r="C24" s="452"/>
      <c r="D24" s="452"/>
      <c r="E24" s="452"/>
      <c r="F24" s="452"/>
      <c r="G24" s="452"/>
      <c r="H24" s="452"/>
      <c r="I24" s="453"/>
    </row>
    <row r="25" spans="1:9" s="135" customFormat="1" ht="45">
      <c r="A25" s="136" t="s">
        <v>251</v>
      </c>
      <c r="B25" s="153" t="str">
        <f>Composições!A52</f>
        <v>COMP. 05</v>
      </c>
      <c r="C25" s="137" t="s">
        <v>497</v>
      </c>
      <c r="D25" s="138" t="str">
        <f>Composições!A51</f>
        <v>INSTALAÇÃO DE MACROMEDIDOR DE VAZÃO, TIPO INSERÇÃO, NÃO INTRUSIVO, INCLUSIVE A REALIZAÇÃO DE PITOMETRIA</v>
      </c>
      <c r="E25" s="139" t="s">
        <v>5</v>
      </c>
      <c r="F25" s="247">
        <v>1</v>
      </c>
      <c r="G25" s="141"/>
      <c r="H25" s="140">
        <f>G25*(1+$I$9)</f>
        <v>0</v>
      </c>
      <c r="I25" s="141">
        <f t="shared" ref="I25" si="2">TRUNC(F25*H25,2)</f>
        <v>0</v>
      </c>
    </row>
    <row r="26" spans="1:9" s="264" customFormat="1">
      <c r="A26" s="284" t="s">
        <v>68</v>
      </c>
      <c r="B26" s="451" t="s">
        <v>493</v>
      </c>
      <c r="C26" s="452"/>
      <c r="D26" s="452"/>
      <c r="E26" s="452"/>
      <c r="F26" s="452"/>
      <c r="G26" s="452"/>
      <c r="H26" s="452"/>
      <c r="I26" s="453"/>
    </row>
    <row r="27" spans="1:9" s="135" customFormat="1" ht="45">
      <c r="A27" s="136" t="s">
        <v>496</v>
      </c>
      <c r="B27" s="153" t="str">
        <f>Composições!A10</f>
        <v>COMP. 01</v>
      </c>
      <c r="C27" s="137" t="s">
        <v>497</v>
      </c>
      <c r="D27" s="138" t="str">
        <f>Composições!A9</f>
        <v>CAIXA PARA PROTEÇÃO PARA MACROMEDIDOR DE VAZÃO TIPO INSERÇÃO - 1,60 X 1,60 M - LOCALIZADOS EM ÁREA INTERNA</v>
      </c>
      <c r="E27" s="139" t="s">
        <v>5</v>
      </c>
      <c r="F27" s="247">
        <v>1</v>
      </c>
      <c r="G27" s="141"/>
      <c r="H27" s="140">
        <f>G27*(1+$I$9)</f>
        <v>0</v>
      </c>
      <c r="I27" s="141">
        <f t="shared" si="0"/>
        <v>0</v>
      </c>
    </row>
    <row r="28" spans="1:9" s="264" customFormat="1" ht="12.75" customHeight="1">
      <c r="A28" s="442" t="s">
        <v>500</v>
      </c>
      <c r="B28" s="443"/>
      <c r="C28" s="443"/>
      <c r="D28" s="443"/>
      <c r="E28" s="443"/>
      <c r="F28" s="443"/>
      <c r="G28" s="443"/>
      <c r="H28" s="444"/>
      <c r="I28" s="265">
        <f>SUM(I20:I27)</f>
        <v>0</v>
      </c>
    </row>
    <row r="29" spans="1:9" ht="18" customHeight="1">
      <c r="A29" s="423" t="s">
        <v>501</v>
      </c>
      <c r="B29" s="424"/>
      <c r="C29" s="424"/>
      <c r="D29" s="424"/>
      <c r="E29" s="424"/>
      <c r="F29" s="424"/>
      <c r="G29" s="424"/>
      <c r="H29" s="425"/>
      <c r="I29" s="257">
        <f>I28+I18</f>
        <v>0</v>
      </c>
    </row>
    <row r="30" spans="1:9" s="135" customFormat="1" ht="16.5" customHeight="1">
      <c r="A30" s="445" t="s">
        <v>499</v>
      </c>
      <c r="B30" s="446"/>
      <c r="C30" s="446"/>
      <c r="D30" s="446"/>
      <c r="E30" s="446"/>
      <c r="F30" s="446"/>
      <c r="G30" s="446"/>
      <c r="H30" s="446"/>
      <c r="I30" s="447"/>
    </row>
    <row r="31" spans="1:9" s="134" customFormat="1" ht="33.75">
      <c r="A31" s="128" t="s">
        <v>1</v>
      </c>
      <c r="B31" s="128" t="s">
        <v>3</v>
      </c>
      <c r="C31" s="128" t="s">
        <v>15</v>
      </c>
      <c r="D31" s="128" t="s">
        <v>2</v>
      </c>
      <c r="E31" s="128" t="s">
        <v>316</v>
      </c>
      <c r="F31" s="185" t="s">
        <v>158</v>
      </c>
      <c r="G31" s="251" t="s">
        <v>159</v>
      </c>
      <c r="H31" s="251" t="s">
        <v>160</v>
      </c>
      <c r="I31" s="250" t="s">
        <v>161</v>
      </c>
    </row>
    <row r="32" spans="1:9" s="135" customFormat="1" ht="12" customHeight="1">
      <c r="A32" s="150">
        <v>1</v>
      </c>
      <c r="B32" s="169" t="s">
        <v>238</v>
      </c>
      <c r="C32" s="170"/>
      <c r="D32" s="170"/>
      <c r="E32" s="170"/>
      <c r="F32" s="253"/>
      <c r="G32" s="170"/>
      <c r="H32" s="220"/>
      <c r="I32" s="171"/>
    </row>
    <row r="33" spans="1:9" s="135" customFormat="1" ht="12" customHeight="1">
      <c r="A33" s="278" t="s">
        <v>4</v>
      </c>
      <c r="B33" s="279" t="s">
        <v>239</v>
      </c>
      <c r="C33" s="280"/>
      <c r="D33" s="280"/>
      <c r="E33" s="280"/>
      <c r="F33" s="281"/>
      <c r="G33" s="280"/>
      <c r="H33" s="282"/>
      <c r="I33" s="283"/>
    </row>
    <row r="34" spans="1:9" s="264" customFormat="1">
      <c r="A34" s="215" t="s">
        <v>162</v>
      </c>
      <c r="B34" s="214">
        <v>70020004</v>
      </c>
      <c r="C34" s="214" t="s">
        <v>142</v>
      </c>
      <c r="D34" s="222" t="s">
        <v>240</v>
      </c>
      <c r="E34" s="215" t="s">
        <v>6</v>
      </c>
      <c r="F34" s="254">
        <v>15</v>
      </c>
      <c r="G34" s="216"/>
      <c r="H34" s="140">
        <f>G34*(1+$I$9)</f>
        <v>0</v>
      </c>
      <c r="I34" s="216">
        <f>ROUND((F34*H34),2)</f>
        <v>0</v>
      </c>
    </row>
    <row r="35" spans="1:9" s="264" customFormat="1">
      <c r="A35" s="284" t="s">
        <v>123</v>
      </c>
      <c r="B35" s="451" t="s">
        <v>241</v>
      </c>
      <c r="C35" s="452"/>
      <c r="D35" s="452"/>
      <c r="E35" s="452"/>
      <c r="F35" s="452"/>
      <c r="G35" s="452"/>
      <c r="H35" s="452"/>
      <c r="I35" s="453"/>
    </row>
    <row r="36" spans="1:9" s="264" customFormat="1" ht="56.25">
      <c r="A36" s="215" t="s">
        <v>180</v>
      </c>
      <c r="B36" s="215">
        <v>97635</v>
      </c>
      <c r="C36" s="215" t="s">
        <v>146</v>
      </c>
      <c r="D36" s="219" t="s">
        <v>506</v>
      </c>
      <c r="E36" s="214" t="s">
        <v>140</v>
      </c>
      <c r="F36" s="254">
        <f>2.9*2.9</f>
        <v>8.41</v>
      </c>
      <c r="G36" s="216"/>
      <c r="H36" s="140">
        <f>G36*(1+$I$9)</f>
        <v>0</v>
      </c>
      <c r="I36" s="216">
        <f>ROUND((F36*H36),2)</f>
        <v>0</v>
      </c>
    </row>
    <row r="37" spans="1:9" s="264" customFormat="1" ht="12.75" customHeight="1">
      <c r="A37" s="442" t="str">
        <f>CONCATENATE("SUBTOTAL ",A32)</f>
        <v>SUBTOTAL 1</v>
      </c>
      <c r="B37" s="443"/>
      <c r="C37" s="443"/>
      <c r="D37" s="443"/>
      <c r="E37" s="443"/>
      <c r="F37" s="443"/>
      <c r="G37" s="443"/>
      <c r="H37" s="444"/>
      <c r="I37" s="265">
        <f>SUM(I34:I36)</f>
        <v>0</v>
      </c>
    </row>
    <row r="38" spans="1:9" s="264" customFormat="1">
      <c r="A38" s="262">
        <v>2</v>
      </c>
      <c r="B38" s="448" t="s">
        <v>246</v>
      </c>
      <c r="C38" s="449"/>
      <c r="D38" s="449"/>
      <c r="E38" s="449"/>
      <c r="F38" s="449"/>
      <c r="G38" s="449"/>
      <c r="H38" s="449"/>
      <c r="I38" s="450"/>
    </row>
    <row r="39" spans="1:9" s="264" customFormat="1">
      <c r="A39" s="284" t="s">
        <v>8</v>
      </c>
      <c r="B39" s="451" t="s">
        <v>247</v>
      </c>
      <c r="C39" s="452"/>
      <c r="D39" s="452"/>
      <c r="E39" s="452"/>
      <c r="F39" s="452"/>
      <c r="G39" s="452"/>
      <c r="H39" s="452"/>
      <c r="I39" s="453"/>
    </row>
    <row r="40" spans="1:9" s="264" customFormat="1" ht="33.75">
      <c r="A40" s="215" t="s">
        <v>248</v>
      </c>
      <c r="B40" s="215">
        <v>70030060</v>
      </c>
      <c r="C40" s="215" t="s">
        <v>142</v>
      </c>
      <c r="D40" s="219" t="s">
        <v>249</v>
      </c>
      <c r="E40" s="215" t="s">
        <v>287</v>
      </c>
      <c r="F40" s="254">
        <f>(2.9*2.9*2.6)*2</f>
        <v>43.731999999999999</v>
      </c>
      <c r="G40" s="217"/>
      <c r="H40" s="140">
        <f>G40*(1+$I$9)</f>
        <v>0</v>
      </c>
      <c r="I40" s="216">
        <f>ROUND((F40*H40),2)</f>
        <v>0</v>
      </c>
    </row>
    <row r="41" spans="1:9" s="264" customFormat="1">
      <c r="A41" s="284" t="s">
        <v>9</v>
      </c>
      <c r="B41" s="451" t="s">
        <v>250</v>
      </c>
      <c r="C41" s="452"/>
      <c r="D41" s="452"/>
      <c r="E41" s="452"/>
      <c r="F41" s="452"/>
      <c r="G41" s="452"/>
      <c r="H41" s="452"/>
      <c r="I41" s="453"/>
    </row>
    <row r="42" spans="1:9" s="264" customFormat="1" ht="45">
      <c r="A42" s="215" t="s">
        <v>251</v>
      </c>
      <c r="B42" s="215">
        <v>70030020</v>
      </c>
      <c r="C42" s="215" t="s">
        <v>142</v>
      </c>
      <c r="D42" s="219" t="s">
        <v>252</v>
      </c>
      <c r="E42" s="215" t="s">
        <v>287</v>
      </c>
      <c r="F42" s="254">
        <f>F40-(1.9*1.9*2.6*2)</f>
        <v>24.96</v>
      </c>
      <c r="G42" s="217"/>
      <c r="H42" s="140">
        <f>G42*(1+$I$9)</f>
        <v>0</v>
      </c>
      <c r="I42" s="216">
        <f>ROUND((F42*H42),2)</f>
        <v>0</v>
      </c>
    </row>
    <row r="43" spans="1:9" s="264" customFormat="1" ht="12.75" customHeight="1">
      <c r="A43" s="442" t="s">
        <v>500</v>
      </c>
      <c r="B43" s="443"/>
      <c r="C43" s="443"/>
      <c r="D43" s="443"/>
      <c r="E43" s="443"/>
      <c r="F43" s="443"/>
      <c r="G43" s="443"/>
      <c r="H43" s="444"/>
      <c r="I43" s="265">
        <f>SUM(I40:I42)</f>
        <v>0</v>
      </c>
    </row>
    <row r="44" spans="1:9" s="264" customFormat="1">
      <c r="A44" s="262">
        <v>3</v>
      </c>
      <c r="B44" s="448" t="s">
        <v>256</v>
      </c>
      <c r="C44" s="449"/>
      <c r="D44" s="449"/>
      <c r="E44" s="449"/>
      <c r="F44" s="449"/>
      <c r="G44" s="449"/>
      <c r="H44" s="449"/>
      <c r="I44" s="450"/>
    </row>
    <row r="45" spans="1:9" s="264" customFormat="1">
      <c r="A45" s="284" t="s">
        <v>135</v>
      </c>
      <c r="B45" s="451" t="s">
        <v>509</v>
      </c>
      <c r="C45" s="452"/>
      <c r="D45" s="452"/>
      <c r="E45" s="452"/>
      <c r="F45" s="452"/>
      <c r="G45" s="452"/>
      <c r="H45" s="452"/>
      <c r="I45" s="453"/>
    </row>
    <row r="46" spans="1:9" s="264" customFormat="1" ht="22.5">
      <c r="A46" s="214" t="s">
        <v>254</v>
      </c>
      <c r="B46" s="215">
        <v>70090059</v>
      </c>
      <c r="C46" s="215" t="s">
        <v>142</v>
      </c>
      <c r="D46" s="219" t="s">
        <v>511</v>
      </c>
      <c r="E46" s="214" t="s">
        <v>140</v>
      </c>
      <c r="F46" s="255">
        <f>F36-(1.9*1.9)</f>
        <v>4.8000000000000007</v>
      </c>
      <c r="G46" s="217"/>
      <c r="H46" s="140">
        <f>G46*(1+$I$9)</f>
        <v>0</v>
      </c>
      <c r="I46" s="216">
        <f>ROUND((F46*H46),2)</f>
        <v>0</v>
      </c>
    </row>
    <row r="47" spans="1:9" s="264" customFormat="1">
      <c r="A47" s="442" t="str">
        <f>CONCATENATE("SUBTOTAL ",A44)</f>
        <v>SUBTOTAL 3</v>
      </c>
      <c r="B47" s="443"/>
      <c r="C47" s="443"/>
      <c r="D47" s="443"/>
      <c r="E47" s="443"/>
      <c r="F47" s="443"/>
      <c r="G47" s="443"/>
      <c r="H47" s="444"/>
      <c r="I47" s="265">
        <f>SUM(I46:I46)</f>
        <v>0</v>
      </c>
    </row>
    <row r="48" spans="1:9" s="264" customFormat="1">
      <c r="A48" s="262">
        <v>4</v>
      </c>
      <c r="B48" s="448" t="s">
        <v>490</v>
      </c>
      <c r="C48" s="449"/>
      <c r="D48" s="449"/>
      <c r="E48" s="449"/>
      <c r="F48" s="449"/>
      <c r="G48" s="449"/>
      <c r="H48" s="449"/>
      <c r="I48" s="450"/>
    </row>
    <row r="49" spans="1:9" s="264" customFormat="1">
      <c r="A49" s="284" t="s">
        <v>136</v>
      </c>
      <c r="B49" s="451" t="s">
        <v>491</v>
      </c>
      <c r="C49" s="452"/>
      <c r="D49" s="452"/>
      <c r="E49" s="452"/>
      <c r="F49" s="452"/>
      <c r="G49" s="452"/>
      <c r="H49" s="452"/>
      <c r="I49" s="453"/>
    </row>
    <row r="50" spans="1:9" s="135" customFormat="1" ht="22.5">
      <c r="A50" s="136" t="s">
        <v>258</v>
      </c>
      <c r="B50" s="245" t="s">
        <v>145</v>
      </c>
      <c r="C50" s="152" t="s">
        <v>236</v>
      </c>
      <c r="D50" s="165" t="s">
        <v>202</v>
      </c>
      <c r="E50" s="187" t="s">
        <v>5</v>
      </c>
      <c r="F50" s="248">
        <v>1</v>
      </c>
      <c r="G50" s="172"/>
      <c r="H50" s="140">
        <f t="shared" ref="H50:H53" si="3">G50*(1+$I$9)</f>
        <v>0</v>
      </c>
      <c r="I50" s="173">
        <f t="shared" ref="I50:I53" si="4">TRUNC(F50*H50,2)</f>
        <v>0</v>
      </c>
    </row>
    <row r="51" spans="1:9" s="135" customFormat="1">
      <c r="A51" s="136" t="s">
        <v>260</v>
      </c>
      <c r="B51" s="153" t="s">
        <v>145</v>
      </c>
      <c r="C51" s="152" t="s">
        <v>236</v>
      </c>
      <c r="D51" s="162" t="s">
        <v>131</v>
      </c>
      <c r="E51" s="186" t="s">
        <v>5</v>
      </c>
      <c r="F51" s="232">
        <v>2</v>
      </c>
      <c r="G51" s="141"/>
      <c r="H51" s="140">
        <f t="shared" si="3"/>
        <v>0</v>
      </c>
      <c r="I51" s="141">
        <f t="shared" ref="I51:I52" si="5">TRUNC(F51*H51,2)</f>
        <v>0</v>
      </c>
    </row>
    <row r="52" spans="1:9" s="135" customFormat="1" ht="22.5">
      <c r="A52" s="136" t="s">
        <v>262</v>
      </c>
      <c r="B52" s="153" t="s">
        <v>145</v>
      </c>
      <c r="C52" s="152" t="s">
        <v>236</v>
      </c>
      <c r="D52" s="162" t="s">
        <v>311</v>
      </c>
      <c r="E52" s="139" t="s">
        <v>5</v>
      </c>
      <c r="F52" s="247">
        <v>2</v>
      </c>
      <c r="G52" s="141"/>
      <c r="H52" s="140">
        <f t="shared" si="3"/>
        <v>0</v>
      </c>
      <c r="I52" s="141">
        <f t="shared" si="5"/>
        <v>0</v>
      </c>
    </row>
    <row r="53" spans="1:9" s="135" customFormat="1" ht="22.5">
      <c r="A53" s="136" t="s">
        <v>264</v>
      </c>
      <c r="B53" s="238" t="s">
        <v>310</v>
      </c>
      <c r="C53" s="137" t="s">
        <v>142</v>
      </c>
      <c r="D53" s="184" t="s">
        <v>199</v>
      </c>
      <c r="E53" s="139" t="s">
        <v>5</v>
      </c>
      <c r="F53" s="232">
        <v>1</v>
      </c>
      <c r="G53" s="140"/>
      <c r="H53" s="140">
        <f t="shared" si="3"/>
        <v>0</v>
      </c>
      <c r="I53" s="141">
        <f t="shared" si="4"/>
        <v>0</v>
      </c>
    </row>
    <row r="54" spans="1:9" s="264" customFormat="1">
      <c r="A54" s="284" t="s">
        <v>332</v>
      </c>
      <c r="B54" s="451" t="s">
        <v>492</v>
      </c>
      <c r="C54" s="452"/>
      <c r="D54" s="452"/>
      <c r="E54" s="452"/>
      <c r="F54" s="452"/>
      <c r="G54" s="452"/>
      <c r="H54" s="452"/>
      <c r="I54" s="453"/>
    </row>
    <row r="55" spans="1:9" s="135" customFormat="1" ht="45">
      <c r="A55" s="136" t="s">
        <v>338</v>
      </c>
      <c r="B55" s="153" t="str">
        <f>Composições!A52</f>
        <v>COMP. 05</v>
      </c>
      <c r="C55" s="137" t="s">
        <v>497</v>
      </c>
      <c r="D55" s="138" t="str">
        <f>Composições!A51</f>
        <v>INSTALAÇÃO DE MACROMEDIDOR DE VAZÃO, TIPO INSERÇÃO, NÃO INTRUSIVO, INCLUSIVE A REALIZAÇÃO DE PITOMETRIA</v>
      </c>
      <c r="E55" s="139" t="s">
        <v>5</v>
      </c>
      <c r="F55" s="247">
        <v>2</v>
      </c>
      <c r="G55" s="141"/>
      <c r="H55" s="140">
        <f>G55*(1+$I$9)</f>
        <v>0</v>
      </c>
      <c r="I55" s="141">
        <f t="shared" ref="I55" si="6">TRUNC(F55*H55,2)</f>
        <v>0</v>
      </c>
    </row>
    <row r="56" spans="1:9" s="264" customFormat="1">
      <c r="A56" s="284" t="s">
        <v>335</v>
      </c>
      <c r="B56" s="451" t="s">
        <v>493</v>
      </c>
      <c r="C56" s="452"/>
      <c r="D56" s="452"/>
      <c r="E56" s="452"/>
      <c r="F56" s="452"/>
      <c r="G56" s="452"/>
      <c r="H56" s="452"/>
      <c r="I56" s="453"/>
    </row>
    <row r="57" spans="1:9" s="135" customFormat="1" ht="45">
      <c r="A57" s="136" t="s">
        <v>339</v>
      </c>
      <c r="B57" s="153" t="str">
        <f>Composições!A10</f>
        <v>COMP. 01</v>
      </c>
      <c r="C57" s="137" t="s">
        <v>497</v>
      </c>
      <c r="D57" s="138" t="str">
        <f>Composições!A9</f>
        <v>CAIXA PARA PROTEÇÃO PARA MACROMEDIDOR DE VAZÃO TIPO INSERÇÃO - 1,60 X 1,60 M - LOCALIZADOS EM ÁREA INTERNA</v>
      </c>
      <c r="E57" s="139" t="s">
        <v>5</v>
      </c>
      <c r="F57" s="247">
        <v>1</v>
      </c>
      <c r="G57" s="141"/>
      <c r="H57" s="140">
        <f t="shared" ref="H57:H58" si="7">G57*(1+$I$9)</f>
        <v>0</v>
      </c>
      <c r="I57" s="141">
        <f t="shared" ref="I57" si="8">TRUNC(F57*H57,2)</f>
        <v>0</v>
      </c>
    </row>
    <row r="58" spans="1:9" s="135" customFormat="1" ht="45">
      <c r="A58" s="136" t="s">
        <v>422</v>
      </c>
      <c r="B58" s="153" t="str">
        <f>Composições!A20</f>
        <v>COMP. 02</v>
      </c>
      <c r="C58" s="137" t="s">
        <v>497</v>
      </c>
      <c r="D58" s="138" t="str">
        <f>Composições!A19</f>
        <v>CAIXA PARA PROTEÇÃO PARA MACROMEDIDOR DE VAZÃO TIPO INSERÇÃO - 1,60 X 1,60 M - LOCALIZADOS EM VIA PÚBLICA</v>
      </c>
      <c r="E58" s="139" t="s">
        <v>5</v>
      </c>
      <c r="F58" s="247">
        <v>1</v>
      </c>
      <c r="G58" s="141"/>
      <c r="H58" s="140">
        <f t="shared" si="7"/>
        <v>0</v>
      </c>
      <c r="I58" s="141">
        <f t="shared" ref="I58" si="9">TRUNC(F58*H58,2)</f>
        <v>0</v>
      </c>
    </row>
    <row r="59" spans="1:9" s="264" customFormat="1" ht="12.75" customHeight="1">
      <c r="A59" s="442" t="s">
        <v>510</v>
      </c>
      <c r="B59" s="443"/>
      <c r="C59" s="443"/>
      <c r="D59" s="443"/>
      <c r="E59" s="443"/>
      <c r="F59" s="443"/>
      <c r="G59" s="443"/>
      <c r="H59" s="444"/>
      <c r="I59" s="265">
        <f>SUM(I49:I58)</f>
        <v>0</v>
      </c>
    </row>
    <row r="60" spans="1:9" ht="18" customHeight="1">
      <c r="A60" s="423" t="s">
        <v>505</v>
      </c>
      <c r="B60" s="424"/>
      <c r="C60" s="424"/>
      <c r="D60" s="424"/>
      <c r="E60" s="424"/>
      <c r="F60" s="424"/>
      <c r="G60" s="424"/>
      <c r="H60" s="425"/>
      <c r="I60" s="257">
        <f>I59+I47+I43+I37</f>
        <v>0</v>
      </c>
    </row>
    <row r="61" spans="1:9" s="135" customFormat="1" ht="16.5" customHeight="1">
      <c r="A61" s="445" t="s">
        <v>507</v>
      </c>
      <c r="B61" s="446"/>
      <c r="C61" s="446"/>
      <c r="D61" s="446"/>
      <c r="E61" s="446"/>
      <c r="F61" s="446"/>
      <c r="G61" s="446"/>
      <c r="H61" s="446"/>
      <c r="I61" s="447"/>
    </row>
    <row r="62" spans="1:9" s="134" customFormat="1" ht="33.75">
      <c r="A62" s="128" t="s">
        <v>1</v>
      </c>
      <c r="B62" s="128" t="s">
        <v>3</v>
      </c>
      <c r="C62" s="128" t="s">
        <v>15</v>
      </c>
      <c r="D62" s="128" t="s">
        <v>2</v>
      </c>
      <c r="E62" s="128" t="s">
        <v>316</v>
      </c>
      <c r="F62" s="185" t="s">
        <v>158</v>
      </c>
      <c r="G62" s="251" t="s">
        <v>159</v>
      </c>
      <c r="H62" s="251" t="s">
        <v>160</v>
      </c>
      <c r="I62" s="250" t="s">
        <v>161</v>
      </c>
    </row>
    <row r="63" spans="1:9" s="135" customFormat="1" ht="12" customHeight="1">
      <c r="A63" s="150">
        <v>1</v>
      </c>
      <c r="B63" s="169" t="s">
        <v>238</v>
      </c>
      <c r="C63" s="170"/>
      <c r="D63" s="170"/>
      <c r="E63" s="170"/>
      <c r="F63" s="253"/>
      <c r="G63" s="170"/>
      <c r="H63" s="220"/>
      <c r="I63" s="171"/>
    </row>
    <row r="64" spans="1:9" s="135" customFormat="1" ht="12" customHeight="1">
      <c r="A64" s="278" t="s">
        <v>4</v>
      </c>
      <c r="B64" s="279" t="s">
        <v>239</v>
      </c>
      <c r="C64" s="280"/>
      <c r="D64" s="280"/>
      <c r="E64" s="280"/>
      <c r="F64" s="281"/>
      <c r="G64" s="280"/>
      <c r="H64" s="282"/>
      <c r="I64" s="283"/>
    </row>
    <row r="65" spans="1:9" s="264" customFormat="1">
      <c r="A65" s="215" t="s">
        <v>162</v>
      </c>
      <c r="B65" s="214">
        <v>70020004</v>
      </c>
      <c r="C65" s="214" t="s">
        <v>142</v>
      </c>
      <c r="D65" s="222" t="s">
        <v>240</v>
      </c>
      <c r="E65" s="215" t="s">
        <v>6</v>
      </c>
      <c r="F65" s="254">
        <v>15</v>
      </c>
      <c r="G65" s="216"/>
      <c r="H65" s="140">
        <f>G65*(1+$I$9)</f>
        <v>0</v>
      </c>
      <c r="I65" s="216">
        <f>ROUND((F65*H65),2)</f>
        <v>0</v>
      </c>
    </row>
    <row r="66" spans="1:9" s="264" customFormat="1">
      <c r="A66" s="284" t="s">
        <v>123</v>
      </c>
      <c r="B66" s="451" t="s">
        <v>241</v>
      </c>
      <c r="C66" s="452"/>
      <c r="D66" s="452"/>
      <c r="E66" s="452"/>
      <c r="F66" s="452"/>
      <c r="G66" s="452"/>
      <c r="H66" s="452"/>
      <c r="I66" s="453"/>
    </row>
    <row r="67" spans="1:9" s="264" customFormat="1" ht="33.75">
      <c r="A67" s="215" t="s">
        <v>180</v>
      </c>
      <c r="B67" s="215">
        <v>70090012</v>
      </c>
      <c r="C67" s="215" t="s">
        <v>142</v>
      </c>
      <c r="D67" s="219" t="s">
        <v>508</v>
      </c>
      <c r="E67" s="214" t="s">
        <v>140</v>
      </c>
      <c r="F67" s="254">
        <f>2.9*2.9</f>
        <v>8.41</v>
      </c>
      <c r="G67" s="216"/>
      <c r="H67" s="140">
        <f>G67*(1+$I$9)</f>
        <v>0</v>
      </c>
      <c r="I67" s="216">
        <f>ROUND((F67*H67),2)</f>
        <v>0</v>
      </c>
    </row>
    <row r="68" spans="1:9" s="264" customFormat="1">
      <c r="A68" s="284" t="s">
        <v>124</v>
      </c>
      <c r="B68" s="451" t="s">
        <v>242</v>
      </c>
      <c r="C68" s="452"/>
      <c r="D68" s="452"/>
      <c r="E68" s="452"/>
      <c r="F68" s="452"/>
      <c r="G68" s="452"/>
      <c r="H68" s="452"/>
      <c r="I68" s="453"/>
    </row>
    <row r="69" spans="1:9" s="264" customFormat="1" ht="67.5">
      <c r="A69" s="215" t="s">
        <v>220</v>
      </c>
      <c r="B69" s="215">
        <v>100981</v>
      </c>
      <c r="C69" s="215" t="s">
        <v>146</v>
      </c>
      <c r="D69" s="219" t="s">
        <v>243</v>
      </c>
      <c r="E69" s="215" t="s">
        <v>287</v>
      </c>
      <c r="F69" s="255">
        <f>(F67*0.15)</f>
        <v>1.2615000000000001</v>
      </c>
      <c r="G69" s="216"/>
      <c r="H69" s="140">
        <f t="shared" ref="H69:H71" si="10">G69*(1+$I$9)</f>
        <v>0</v>
      </c>
      <c r="I69" s="216">
        <f>ROUND((F69*H69),2)</f>
        <v>0</v>
      </c>
    </row>
    <row r="70" spans="1:9" s="264" customFormat="1" ht="45">
      <c r="A70" s="215" t="s">
        <v>224</v>
      </c>
      <c r="B70" s="215">
        <v>97914</v>
      </c>
      <c r="C70" s="215" t="s">
        <v>146</v>
      </c>
      <c r="D70" s="219" t="s">
        <v>290</v>
      </c>
      <c r="E70" s="215" t="s">
        <v>288</v>
      </c>
      <c r="F70" s="254">
        <f>F69*20</f>
        <v>25.23</v>
      </c>
      <c r="G70" s="216"/>
      <c r="H70" s="140">
        <f t="shared" si="10"/>
        <v>0</v>
      </c>
      <c r="I70" s="216">
        <f>ROUND((F70*H70),2)</f>
        <v>0</v>
      </c>
    </row>
    <row r="71" spans="1:9" s="264" customFormat="1" ht="22.5">
      <c r="A71" s="215" t="s">
        <v>225</v>
      </c>
      <c r="B71" s="215" t="s">
        <v>282</v>
      </c>
      <c r="C71" s="215" t="s">
        <v>167</v>
      </c>
      <c r="D71" s="219" t="s">
        <v>244</v>
      </c>
      <c r="E71" s="215" t="s">
        <v>245</v>
      </c>
      <c r="F71" s="254">
        <f>F69*2.4</f>
        <v>3.0276000000000001</v>
      </c>
      <c r="G71" s="217"/>
      <c r="H71" s="140">
        <f t="shared" si="10"/>
        <v>0</v>
      </c>
      <c r="I71" s="216">
        <f>ROUND((F71*H71),2)</f>
        <v>0</v>
      </c>
    </row>
    <row r="72" spans="1:9" s="264" customFormat="1" ht="12.75" customHeight="1">
      <c r="A72" s="442" t="str">
        <f>CONCATENATE("SUBTOTAL ",A63)</f>
        <v>SUBTOTAL 1</v>
      </c>
      <c r="B72" s="443"/>
      <c r="C72" s="443"/>
      <c r="D72" s="443"/>
      <c r="E72" s="443"/>
      <c r="F72" s="443"/>
      <c r="G72" s="443"/>
      <c r="H72" s="444"/>
      <c r="I72" s="265">
        <f>SUM(I65:I71)</f>
        <v>0</v>
      </c>
    </row>
    <row r="73" spans="1:9" s="264" customFormat="1">
      <c r="A73" s="262">
        <v>2</v>
      </c>
      <c r="B73" s="448" t="s">
        <v>246</v>
      </c>
      <c r="C73" s="449"/>
      <c r="D73" s="449"/>
      <c r="E73" s="449"/>
      <c r="F73" s="449"/>
      <c r="G73" s="449"/>
      <c r="H73" s="449"/>
      <c r="I73" s="450"/>
    </row>
    <row r="74" spans="1:9" s="264" customFormat="1">
      <c r="A74" s="284" t="s">
        <v>8</v>
      </c>
      <c r="B74" s="451" t="s">
        <v>247</v>
      </c>
      <c r="C74" s="452"/>
      <c r="D74" s="452"/>
      <c r="E74" s="452"/>
      <c r="F74" s="452"/>
      <c r="G74" s="452"/>
      <c r="H74" s="452"/>
      <c r="I74" s="453"/>
    </row>
    <row r="75" spans="1:9" s="264" customFormat="1" ht="33.75">
      <c r="A75" s="215" t="s">
        <v>248</v>
      </c>
      <c r="B75" s="215">
        <v>70030060</v>
      </c>
      <c r="C75" s="215" t="s">
        <v>142</v>
      </c>
      <c r="D75" s="219" t="s">
        <v>249</v>
      </c>
      <c r="E75" s="215" t="s">
        <v>287</v>
      </c>
      <c r="F75" s="254">
        <f>(2.9*2.9*2.6)*2</f>
        <v>43.731999999999999</v>
      </c>
      <c r="G75" s="217"/>
      <c r="H75" s="140">
        <f>G75*(1+$I$9)</f>
        <v>0</v>
      </c>
      <c r="I75" s="216">
        <f>ROUND((F75*H75),2)</f>
        <v>0</v>
      </c>
    </row>
    <row r="76" spans="1:9" s="264" customFormat="1">
      <c r="A76" s="284" t="s">
        <v>9</v>
      </c>
      <c r="B76" s="451" t="s">
        <v>250</v>
      </c>
      <c r="C76" s="452"/>
      <c r="D76" s="452"/>
      <c r="E76" s="452"/>
      <c r="F76" s="452"/>
      <c r="G76" s="452"/>
      <c r="H76" s="452"/>
      <c r="I76" s="453"/>
    </row>
    <row r="77" spans="1:9" s="264" customFormat="1" ht="45">
      <c r="A77" s="215" t="s">
        <v>251</v>
      </c>
      <c r="B77" s="215">
        <v>70030020</v>
      </c>
      <c r="C77" s="215" t="s">
        <v>142</v>
      </c>
      <c r="D77" s="219" t="s">
        <v>252</v>
      </c>
      <c r="E77" s="215" t="s">
        <v>287</v>
      </c>
      <c r="F77" s="254">
        <f>F75-(1.9*1.9*2.6*2)</f>
        <v>24.96</v>
      </c>
      <c r="G77" s="217"/>
      <c r="H77" s="140">
        <f>G77*(1+$I$9)</f>
        <v>0</v>
      </c>
      <c r="I77" s="216">
        <f>ROUND((F77*H77),2)</f>
        <v>0</v>
      </c>
    </row>
    <row r="78" spans="1:9" s="264" customFormat="1" ht="12.75" customHeight="1">
      <c r="A78" s="442" t="s">
        <v>500</v>
      </c>
      <c r="B78" s="443"/>
      <c r="C78" s="443"/>
      <c r="D78" s="443"/>
      <c r="E78" s="443"/>
      <c r="F78" s="443"/>
      <c r="G78" s="443"/>
      <c r="H78" s="444"/>
      <c r="I78" s="265">
        <f>SUM(I75:I77)</f>
        <v>0</v>
      </c>
    </row>
    <row r="79" spans="1:9" s="264" customFormat="1">
      <c r="A79" s="262">
        <v>3</v>
      </c>
      <c r="B79" s="448" t="s">
        <v>256</v>
      </c>
      <c r="C79" s="449"/>
      <c r="D79" s="449"/>
      <c r="E79" s="449"/>
      <c r="F79" s="449"/>
      <c r="G79" s="449"/>
      <c r="H79" s="449"/>
      <c r="I79" s="450"/>
    </row>
    <row r="80" spans="1:9" s="264" customFormat="1">
      <c r="A80" s="284" t="s">
        <v>135</v>
      </c>
      <c r="B80" s="451" t="s">
        <v>509</v>
      </c>
      <c r="C80" s="452"/>
      <c r="D80" s="452"/>
      <c r="E80" s="452"/>
      <c r="F80" s="452"/>
      <c r="G80" s="452"/>
      <c r="H80" s="452"/>
      <c r="I80" s="453"/>
    </row>
    <row r="81" spans="1:9" s="264" customFormat="1" ht="22.5">
      <c r="A81" s="214" t="s">
        <v>254</v>
      </c>
      <c r="B81" s="215">
        <v>70090056</v>
      </c>
      <c r="C81" s="215" t="s">
        <v>142</v>
      </c>
      <c r="D81" s="219" t="s">
        <v>512</v>
      </c>
      <c r="E81" s="214" t="s">
        <v>140</v>
      </c>
      <c r="F81" s="255">
        <f>F67-(1.9*1.9)</f>
        <v>4.8000000000000007</v>
      </c>
      <c r="G81" s="217"/>
      <c r="H81" s="140">
        <f>G81*(1+$I$9)</f>
        <v>0</v>
      </c>
      <c r="I81" s="216">
        <f>ROUND((F81*H81),2)</f>
        <v>0</v>
      </c>
    </row>
    <row r="82" spans="1:9" s="264" customFormat="1">
      <c r="A82" s="442" t="str">
        <f>CONCATENATE("SUBTOTAL ",A79)</f>
        <v>SUBTOTAL 3</v>
      </c>
      <c r="B82" s="443"/>
      <c r="C82" s="443"/>
      <c r="D82" s="443"/>
      <c r="E82" s="443"/>
      <c r="F82" s="443"/>
      <c r="G82" s="443"/>
      <c r="H82" s="444"/>
      <c r="I82" s="265">
        <f>SUM(I81:I81)</f>
        <v>0</v>
      </c>
    </row>
    <row r="83" spans="1:9" s="264" customFormat="1">
      <c r="A83" s="262">
        <v>4</v>
      </c>
      <c r="B83" s="448" t="s">
        <v>490</v>
      </c>
      <c r="C83" s="449"/>
      <c r="D83" s="449"/>
      <c r="E83" s="449"/>
      <c r="F83" s="449"/>
      <c r="G83" s="449"/>
      <c r="H83" s="449"/>
      <c r="I83" s="450"/>
    </row>
    <row r="84" spans="1:9" s="264" customFormat="1">
      <c r="A84" s="284" t="s">
        <v>136</v>
      </c>
      <c r="B84" s="451" t="s">
        <v>491</v>
      </c>
      <c r="C84" s="452"/>
      <c r="D84" s="452"/>
      <c r="E84" s="452"/>
      <c r="F84" s="452"/>
      <c r="G84" s="452"/>
      <c r="H84" s="452"/>
      <c r="I84" s="453"/>
    </row>
    <row r="85" spans="1:9" s="135" customFormat="1" ht="22.5">
      <c r="A85" s="136" t="s">
        <v>258</v>
      </c>
      <c r="B85" s="153" t="s">
        <v>145</v>
      </c>
      <c r="C85" s="152" t="s">
        <v>236</v>
      </c>
      <c r="D85" s="162" t="s">
        <v>203</v>
      </c>
      <c r="E85" s="186" t="s">
        <v>5</v>
      </c>
      <c r="F85" s="232">
        <v>1</v>
      </c>
      <c r="G85" s="140"/>
      <c r="H85" s="140">
        <f t="shared" ref="H85:H88" si="11">G85*(1+$I$9)</f>
        <v>0</v>
      </c>
      <c r="I85" s="141">
        <f t="shared" ref="I85:I88" si="12">TRUNC(F85*H85,2)</f>
        <v>0</v>
      </c>
    </row>
    <row r="86" spans="1:9" s="135" customFormat="1">
      <c r="A86" s="136" t="s">
        <v>260</v>
      </c>
      <c r="B86" s="153" t="s">
        <v>145</v>
      </c>
      <c r="C86" s="152" t="s">
        <v>236</v>
      </c>
      <c r="D86" s="162" t="s">
        <v>131</v>
      </c>
      <c r="E86" s="186" t="s">
        <v>5</v>
      </c>
      <c r="F86" s="232">
        <v>2</v>
      </c>
      <c r="G86" s="141"/>
      <c r="H86" s="140">
        <f t="shared" si="11"/>
        <v>0</v>
      </c>
      <c r="I86" s="141">
        <f t="shared" si="12"/>
        <v>0</v>
      </c>
    </row>
    <row r="87" spans="1:9" s="135" customFormat="1" ht="22.5">
      <c r="A87" s="136" t="s">
        <v>262</v>
      </c>
      <c r="B87" s="153" t="s">
        <v>145</v>
      </c>
      <c r="C87" s="152" t="s">
        <v>236</v>
      </c>
      <c r="D87" s="162" t="s">
        <v>311</v>
      </c>
      <c r="E87" s="139" t="s">
        <v>5</v>
      </c>
      <c r="F87" s="247">
        <v>2</v>
      </c>
      <c r="G87" s="141"/>
      <c r="H87" s="140">
        <f t="shared" si="11"/>
        <v>0</v>
      </c>
      <c r="I87" s="141">
        <f t="shared" si="12"/>
        <v>0</v>
      </c>
    </row>
    <row r="88" spans="1:9" s="135" customFormat="1" ht="22.5">
      <c r="A88" s="136" t="s">
        <v>264</v>
      </c>
      <c r="B88" s="238" t="s">
        <v>310</v>
      </c>
      <c r="C88" s="137" t="s">
        <v>142</v>
      </c>
      <c r="D88" s="162" t="s">
        <v>200</v>
      </c>
      <c r="E88" s="139" t="s">
        <v>5</v>
      </c>
      <c r="F88" s="232">
        <v>1</v>
      </c>
      <c r="G88" s="140"/>
      <c r="H88" s="140">
        <f t="shared" si="11"/>
        <v>0</v>
      </c>
      <c r="I88" s="141">
        <f t="shared" si="12"/>
        <v>0</v>
      </c>
    </row>
    <row r="89" spans="1:9" s="264" customFormat="1">
      <c r="A89" s="284" t="s">
        <v>332</v>
      </c>
      <c r="B89" s="451" t="s">
        <v>492</v>
      </c>
      <c r="C89" s="452"/>
      <c r="D89" s="452"/>
      <c r="E89" s="452"/>
      <c r="F89" s="452"/>
      <c r="G89" s="452"/>
      <c r="H89" s="452"/>
      <c r="I89" s="453"/>
    </row>
    <row r="90" spans="1:9" s="135" customFormat="1" ht="45">
      <c r="A90" s="136" t="s">
        <v>338</v>
      </c>
      <c r="B90" s="153" t="str">
        <f>Composições!A52</f>
        <v>COMP. 05</v>
      </c>
      <c r="C90" s="137" t="s">
        <v>497</v>
      </c>
      <c r="D90" s="138" t="str">
        <f>Composições!A51</f>
        <v>INSTALAÇÃO DE MACROMEDIDOR DE VAZÃO, TIPO INSERÇÃO, NÃO INTRUSIVO, INCLUSIVE A REALIZAÇÃO DE PITOMETRIA</v>
      </c>
      <c r="E90" s="139" t="s">
        <v>5</v>
      </c>
      <c r="F90" s="247">
        <v>2</v>
      </c>
      <c r="G90" s="141"/>
      <c r="H90" s="140">
        <f>G90*(1+$I$9)</f>
        <v>0</v>
      </c>
      <c r="I90" s="141">
        <f t="shared" ref="I90" si="13">TRUNC(F90*H90,2)</f>
        <v>0</v>
      </c>
    </row>
    <row r="91" spans="1:9" s="264" customFormat="1">
      <c r="A91" s="284" t="s">
        <v>335</v>
      </c>
      <c r="B91" s="451" t="s">
        <v>493</v>
      </c>
      <c r="C91" s="452"/>
      <c r="D91" s="452"/>
      <c r="E91" s="452"/>
      <c r="F91" s="452"/>
      <c r="G91" s="452"/>
      <c r="H91" s="452"/>
      <c r="I91" s="453"/>
    </row>
    <row r="92" spans="1:9" s="135" customFormat="1" ht="45">
      <c r="A92" s="136" t="s">
        <v>339</v>
      </c>
      <c r="B92" s="153" t="str">
        <f>Composições!A10</f>
        <v>COMP. 01</v>
      </c>
      <c r="C92" s="137" t="s">
        <v>497</v>
      </c>
      <c r="D92" s="138" t="str">
        <f>Composições!A9</f>
        <v>CAIXA PARA PROTEÇÃO PARA MACROMEDIDOR DE VAZÃO TIPO INSERÇÃO - 1,60 X 1,60 M - LOCALIZADOS EM ÁREA INTERNA</v>
      </c>
      <c r="E92" s="139" t="s">
        <v>5</v>
      </c>
      <c r="F92" s="247">
        <v>1</v>
      </c>
      <c r="G92" s="141"/>
      <c r="H92" s="140">
        <f t="shared" ref="H92:H93" si="14">G92*(1+$I$9)</f>
        <v>0</v>
      </c>
      <c r="I92" s="141">
        <f t="shared" ref="I92:I93" si="15">TRUNC(F92*H92,2)</f>
        <v>0</v>
      </c>
    </row>
    <row r="93" spans="1:9" s="135" customFormat="1" ht="45">
      <c r="A93" s="136" t="s">
        <v>422</v>
      </c>
      <c r="B93" s="153" t="str">
        <f>Composições!A20</f>
        <v>COMP. 02</v>
      </c>
      <c r="C93" s="137" t="s">
        <v>497</v>
      </c>
      <c r="D93" s="138" t="str">
        <f>Composições!A19</f>
        <v>CAIXA PARA PROTEÇÃO PARA MACROMEDIDOR DE VAZÃO TIPO INSERÇÃO - 1,60 X 1,60 M - LOCALIZADOS EM VIA PÚBLICA</v>
      </c>
      <c r="E93" s="139" t="s">
        <v>5</v>
      </c>
      <c r="F93" s="247">
        <v>1</v>
      </c>
      <c r="G93" s="141"/>
      <c r="H93" s="140">
        <f t="shared" si="14"/>
        <v>0</v>
      </c>
      <c r="I93" s="141">
        <f t="shared" si="15"/>
        <v>0</v>
      </c>
    </row>
    <row r="94" spans="1:9" s="264" customFormat="1" ht="12.75" customHeight="1">
      <c r="A94" s="442" t="s">
        <v>510</v>
      </c>
      <c r="B94" s="443"/>
      <c r="C94" s="443"/>
      <c r="D94" s="443"/>
      <c r="E94" s="443"/>
      <c r="F94" s="443"/>
      <c r="G94" s="443"/>
      <c r="H94" s="444"/>
      <c r="I94" s="265">
        <f>SUM(I84:I93)</f>
        <v>0</v>
      </c>
    </row>
    <row r="95" spans="1:9" ht="18" customHeight="1">
      <c r="A95" s="423" t="s">
        <v>513</v>
      </c>
      <c r="B95" s="424"/>
      <c r="C95" s="424"/>
      <c r="D95" s="424"/>
      <c r="E95" s="424"/>
      <c r="F95" s="424"/>
      <c r="G95" s="424"/>
      <c r="H95" s="425"/>
      <c r="I95" s="257">
        <f>I72+I78+I82+I94</f>
        <v>0</v>
      </c>
    </row>
    <row r="96" spans="1:9" s="135" customFormat="1" ht="16.5" customHeight="1">
      <c r="A96" s="445" t="s">
        <v>514</v>
      </c>
      <c r="B96" s="446"/>
      <c r="C96" s="446"/>
      <c r="D96" s="446"/>
      <c r="E96" s="446"/>
      <c r="F96" s="446"/>
      <c r="G96" s="446"/>
      <c r="H96" s="446"/>
      <c r="I96" s="447"/>
    </row>
    <row r="97" spans="1:9" s="134" customFormat="1" ht="33.75">
      <c r="A97" s="128" t="s">
        <v>1</v>
      </c>
      <c r="B97" s="128" t="s">
        <v>3</v>
      </c>
      <c r="C97" s="128" t="s">
        <v>15</v>
      </c>
      <c r="D97" s="128" t="s">
        <v>2</v>
      </c>
      <c r="E97" s="128" t="s">
        <v>316</v>
      </c>
      <c r="F97" s="185" t="s">
        <v>158</v>
      </c>
      <c r="G97" s="251" t="s">
        <v>159</v>
      </c>
      <c r="H97" s="251" t="s">
        <v>160</v>
      </c>
      <c r="I97" s="250" t="s">
        <v>161</v>
      </c>
    </row>
    <row r="98" spans="1:9" s="264" customFormat="1">
      <c r="A98" s="262">
        <v>1</v>
      </c>
      <c r="B98" s="448" t="s">
        <v>246</v>
      </c>
      <c r="C98" s="449"/>
      <c r="D98" s="449"/>
      <c r="E98" s="449"/>
      <c r="F98" s="449"/>
      <c r="G98" s="449"/>
      <c r="H98" s="449"/>
      <c r="I98" s="450"/>
    </row>
    <row r="99" spans="1:9" s="264" customFormat="1">
      <c r="A99" s="284" t="s">
        <v>4</v>
      </c>
      <c r="B99" s="451" t="s">
        <v>247</v>
      </c>
      <c r="C99" s="452"/>
      <c r="D99" s="452"/>
      <c r="E99" s="452"/>
      <c r="F99" s="452"/>
      <c r="G99" s="452"/>
      <c r="H99" s="452"/>
      <c r="I99" s="453"/>
    </row>
    <row r="100" spans="1:9" s="264" customFormat="1" ht="33.75">
      <c r="A100" s="215" t="s">
        <v>162</v>
      </c>
      <c r="B100" s="215">
        <v>70030060</v>
      </c>
      <c r="C100" s="215" t="s">
        <v>142</v>
      </c>
      <c r="D100" s="219" t="s">
        <v>249</v>
      </c>
      <c r="E100" s="215" t="s">
        <v>287</v>
      </c>
      <c r="F100" s="254">
        <f>2.9*2.9*2.6</f>
        <v>21.866</v>
      </c>
      <c r="G100" s="217"/>
      <c r="H100" s="140">
        <f>G100*(1+$I$9)</f>
        <v>0</v>
      </c>
      <c r="I100" s="216">
        <f>ROUND((F100*H100),2)</f>
        <v>0</v>
      </c>
    </row>
    <row r="101" spans="1:9" s="264" customFormat="1">
      <c r="A101" s="284" t="s">
        <v>123</v>
      </c>
      <c r="B101" s="451" t="s">
        <v>250</v>
      </c>
      <c r="C101" s="452"/>
      <c r="D101" s="452"/>
      <c r="E101" s="452"/>
      <c r="F101" s="452"/>
      <c r="G101" s="452"/>
      <c r="H101" s="452"/>
      <c r="I101" s="453"/>
    </row>
    <row r="102" spans="1:9" s="264" customFormat="1" ht="45">
      <c r="A102" s="215" t="s">
        <v>180</v>
      </c>
      <c r="B102" s="215">
        <v>70030020</v>
      </c>
      <c r="C102" s="215" t="s">
        <v>142</v>
      </c>
      <c r="D102" s="219" t="s">
        <v>252</v>
      </c>
      <c r="E102" s="215" t="s">
        <v>287</v>
      </c>
      <c r="F102" s="254">
        <f>F100-(1.9*1.9*2.6)</f>
        <v>12.48</v>
      </c>
      <c r="G102" s="217"/>
      <c r="H102" s="140">
        <f>G102*(1+$I$9)</f>
        <v>0</v>
      </c>
      <c r="I102" s="216">
        <f>ROUND((F102*H102),2)</f>
        <v>0</v>
      </c>
    </row>
    <row r="103" spans="1:9" s="264" customFormat="1" ht="12.75" customHeight="1">
      <c r="A103" s="442" t="str">
        <f>CONCATENATE("SUBTOTAL ",A98)</f>
        <v>SUBTOTAL 1</v>
      </c>
      <c r="B103" s="443"/>
      <c r="C103" s="443"/>
      <c r="D103" s="443"/>
      <c r="E103" s="443"/>
      <c r="F103" s="443"/>
      <c r="G103" s="443"/>
      <c r="H103" s="444"/>
      <c r="I103" s="265">
        <f>SUM(I100:I102)</f>
        <v>0</v>
      </c>
    </row>
    <row r="104" spans="1:9" s="264" customFormat="1">
      <c r="A104" s="262">
        <v>2</v>
      </c>
      <c r="B104" s="448" t="s">
        <v>490</v>
      </c>
      <c r="C104" s="449"/>
      <c r="D104" s="449"/>
      <c r="E104" s="449"/>
      <c r="F104" s="449"/>
      <c r="G104" s="449"/>
      <c r="H104" s="449"/>
      <c r="I104" s="450"/>
    </row>
    <row r="105" spans="1:9" s="264" customFormat="1">
      <c r="A105" s="284" t="s">
        <v>8</v>
      </c>
      <c r="B105" s="451" t="s">
        <v>491</v>
      </c>
      <c r="C105" s="452"/>
      <c r="D105" s="452"/>
      <c r="E105" s="452"/>
      <c r="F105" s="452"/>
      <c r="G105" s="452"/>
      <c r="H105" s="452"/>
      <c r="I105" s="453"/>
    </row>
    <row r="106" spans="1:9" s="135" customFormat="1" ht="22.5">
      <c r="A106" s="136" t="s">
        <v>248</v>
      </c>
      <c r="B106" s="153" t="s">
        <v>309</v>
      </c>
      <c r="C106" s="137" t="s">
        <v>142</v>
      </c>
      <c r="D106" s="162" t="s">
        <v>198</v>
      </c>
      <c r="E106" s="139" t="s">
        <v>5</v>
      </c>
      <c r="F106" s="232">
        <v>1</v>
      </c>
      <c r="G106" s="140"/>
      <c r="H106" s="140">
        <f t="shared" ref="H106:H108" si="16">G106*(1+$I$9)</f>
        <v>0</v>
      </c>
      <c r="I106" s="141">
        <f t="shared" ref="I106:I108" si="17">TRUNC(F106*H106,2)</f>
        <v>0</v>
      </c>
    </row>
    <row r="107" spans="1:9" s="135" customFormat="1">
      <c r="A107" s="136" t="s">
        <v>494</v>
      </c>
      <c r="B107" s="153" t="s">
        <v>145</v>
      </c>
      <c r="C107" s="152" t="s">
        <v>236</v>
      </c>
      <c r="D107" s="162" t="s">
        <v>131</v>
      </c>
      <c r="E107" s="139" t="s">
        <v>5</v>
      </c>
      <c r="F107" s="232">
        <v>1</v>
      </c>
      <c r="G107" s="141"/>
      <c r="H107" s="140">
        <f t="shared" si="16"/>
        <v>0</v>
      </c>
      <c r="I107" s="141">
        <f t="shared" si="17"/>
        <v>0</v>
      </c>
    </row>
    <row r="108" spans="1:9" s="135" customFormat="1" ht="22.5">
      <c r="A108" s="136" t="s">
        <v>495</v>
      </c>
      <c r="B108" s="153" t="s">
        <v>145</v>
      </c>
      <c r="C108" s="152" t="s">
        <v>236</v>
      </c>
      <c r="D108" s="162" t="s">
        <v>311</v>
      </c>
      <c r="E108" s="139" t="s">
        <v>5</v>
      </c>
      <c r="F108" s="247">
        <v>1</v>
      </c>
      <c r="G108" s="141"/>
      <c r="H108" s="140">
        <f t="shared" si="16"/>
        <v>0</v>
      </c>
      <c r="I108" s="141">
        <f t="shared" si="17"/>
        <v>0</v>
      </c>
    </row>
    <row r="109" spans="1:9" s="264" customFormat="1">
      <c r="A109" s="284" t="s">
        <v>9</v>
      </c>
      <c r="B109" s="451" t="s">
        <v>492</v>
      </c>
      <c r="C109" s="452"/>
      <c r="D109" s="452"/>
      <c r="E109" s="452"/>
      <c r="F109" s="452"/>
      <c r="G109" s="452"/>
      <c r="H109" s="452"/>
      <c r="I109" s="453"/>
    </row>
    <row r="110" spans="1:9" s="135" customFormat="1" ht="45">
      <c r="A110" s="136" t="s">
        <v>251</v>
      </c>
      <c r="B110" s="153" t="str">
        <f>Composições!$A$52</f>
        <v>COMP. 05</v>
      </c>
      <c r="C110" s="137" t="s">
        <v>497</v>
      </c>
      <c r="D110" s="138" t="str">
        <f>Composições!$A$51</f>
        <v>INSTALAÇÃO DE MACROMEDIDOR DE VAZÃO, TIPO INSERÇÃO, NÃO INTRUSIVO, INCLUSIVE A REALIZAÇÃO DE PITOMETRIA</v>
      </c>
      <c r="E110" s="139" t="s">
        <v>5</v>
      </c>
      <c r="F110" s="247">
        <v>1</v>
      </c>
      <c r="G110" s="141"/>
      <c r="H110" s="140">
        <f>G110*(1+$I$9)</f>
        <v>0</v>
      </c>
      <c r="I110" s="141">
        <f t="shared" ref="I110" si="18">TRUNC(F110*H110,2)</f>
        <v>0</v>
      </c>
    </row>
    <row r="111" spans="1:9" s="264" customFormat="1">
      <c r="A111" s="284" t="s">
        <v>68</v>
      </c>
      <c r="B111" s="451" t="s">
        <v>493</v>
      </c>
      <c r="C111" s="452"/>
      <c r="D111" s="452"/>
      <c r="E111" s="452"/>
      <c r="F111" s="452"/>
      <c r="G111" s="452"/>
      <c r="H111" s="452"/>
      <c r="I111" s="453"/>
    </row>
    <row r="112" spans="1:9" s="135" customFormat="1" ht="45">
      <c r="A112" s="136" t="s">
        <v>496</v>
      </c>
      <c r="B112" s="153" t="str">
        <f>Composições!$A$10</f>
        <v>COMP. 01</v>
      </c>
      <c r="C112" s="137" t="s">
        <v>497</v>
      </c>
      <c r="D112" s="138" t="str">
        <f>Composições!$A$9</f>
        <v>CAIXA PARA PROTEÇÃO PARA MACROMEDIDOR DE VAZÃO TIPO INSERÇÃO - 1,60 X 1,60 M - LOCALIZADOS EM ÁREA INTERNA</v>
      </c>
      <c r="E112" s="139" t="s">
        <v>5</v>
      </c>
      <c r="F112" s="247">
        <v>1</v>
      </c>
      <c r="G112" s="141"/>
      <c r="H112" s="140">
        <f>G112*(1+$I$9)</f>
        <v>0</v>
      </c>
      <c r="I112" s="141">
        <f t="shared" ref="I112" si="19">TRUNC(F112*H112,2)</f>
        <v>0</v>
      </c>
    </row>
    <row r="113" spans="1:9" s="264" customFormat="1" ht="12.75" customHeight="1">
      <c r="A113" s="442" t="s">
        <v>500</v>
      </c>
      <c r="B113" s="443"/>
      <c r="C113" s="443"/>
      <c r="D113" s="443"/>
      <c r="E113" s="443"/>
      <c r="F113" s="443"/>
      <c r="G113" s="443"/>
      <c r="H113" s="444"/>
      <c r="I113" s="265">
        <f>SUM(I106:I112)</f>
        <v>0</v>
      </c>
    </row>
    <row r="114" spans="1:9" ht="18" customHeight="1">
      <c r="A114" s="423" t="s">
        <v>515</v>
      </c>
      <c r="B114" s="424"/>
      <c r="C114" s="424"/>
      <c r="D114" s="424"/>
      <c r="E114" s="424"/>
      <c r="F114" s="424"/>
      <c r="G114" s="424"/>
      <c r="H114" s="425"/>
      <c r="I114" s="257">
        <f>I113+I103</f>
        <v>0</v>
      </c>
    </row>
    <row r="115" spans="1:9" s="135" customFormat="1" ht="16.5" customHeight="1">
      <c r="A115" s="445" t="s">
        <v>516</v>
      </c>
      <c r="B115" s="446"/>
      <c r="C115" s="446"/>
      <c r="D115" s="446"/>
      <c r="E115" s="446"/>
      <c r="F115" s="446"/>
      <c r="G115" s="446"/>
      <c r="H115" s="446"/>
      <c r="I115" s="447"/>
    </row>
    <row r="116" spans="1:9" s="134" customFormat="1" ht="33.75">
      <c r="A116" s="128" t="s">
        <v>1</v>
      </c>
      <c r="B116" s="128" t="s">
        <v>3</v>
      </c>
      <c r="C116" s="128" t="s">
        <v>15</v>
      </c>
      <c r="D116" s="128" t="s">
        <v>2</v>
      </c>
      <c r="E116" s="128" t="s">
        <v>316</v>
      </c>
      <c r="F116" s="185" t="s">
        <v>158</v>
      </c>
      <c r="G116" s="251" t="s">
        <v>159</v>
      </c>
      <c r="H116" s="251" t="s">
        <v>160</v>
      </c>
      <c r="I116" s="250" t="s">
        <v>161</v>
      </c>
    </row>
    <row r="117" spans="1:9" s="264" customFormat="1">
      <c r="A117" s="262">
        <v>1</v>
      </c>
      <c r="B117" s="448" t="s">
        <v>246</v>
      </c>
      <c r="C117" s="449"/>
      <c r="D117" s="449"/>
      <c r="E117" s="449"/>
      <c r="F117" s="449"/>
      <c r="G117" s="449"/>
      <c r="H117" s="449"/>
      <c r="I117" s="450"/>
    </row>
    <row r="118" spans="1:9" s="264" customFormat="1">
      <c r="A118" s="284" t="s">
        <v>4</v>
      </c>
      <c r="B118" s="451" t="s">
        <v>247</v>
      </c>
      <c r="C118" s="452"/>
      <c r="D118" s="452"/>
      <c r="E118" s="452"/>
      <c r="F118" s="452"/>
      <c r="G118" s="452"/>
      <c r="H118" s="452"/>
      <c r="I118" s="453"/>
    </row>
    <row r="119" spans="1:9" s="264" customFormat="1" ht="33.75">
      <c r="A119" s="215" t="s">
        <v>162</v>
      </c>
      <c r="B119" s="215">
        <v>70030060</v>
      </c>
      <c r="C119" s="215" t="s">
        <v>142</v>
      </c>
      <c r="D119" s="219" t="s">
        <v>249</v>
      </c>
      <c r="E119" s="215" t="s">
        <v>287</v>
      </c>
      <c r="F119" s="254">
        <f>2.9*2.9*2.6</f>
        <v>21.866</v>
      </c>
      <c r="G119" s="217"/>
      <c r="H119" s="140">
        <f>G119*(1+$I$9)</f>
        <v>0</v>
      </c>
      <c r="I119" s="216">
        <f>ROUND((F119*H119),2)</f>
        <v>0</v>
      </c>
    </row>
    <row r="120" spans="1:9" s="264" customFormat="1">
      <c r="A120" s="284" t="s">
        <v>123</v>
      </c>
      <c r="B120" s="451" t="s">
        <v>250</v>
      </c>
      <c r="C120" s="452"/>
      <c r="D120" s="452"/>
      <c r="E120" s="452"/>
      <c r="F120" s="452"/>
      <c r="G120" s="452"/>
      <c r="H120" s="452"/>
      <c r="I120" s="453"/>
    </row>
    <row r="121" spans="1:9" s="264" customFormat="1" ht="45">
      <c r="A121" s="215" t="s">
        <v>180</v>
      </c>
      <c r="B121" s="215">
        <v>70030020</v>
      </c>
      <c r="C121" s="215" t="s">
        <v>142</v>
      </c>
      <c r="D121" s="219" t="s">
        <v>252</v>
      </c>
      <c r="E121" s="215" t="s">
        <v>287</v>
      </c>
      <c r="F121" s="254">
        <f>F119-(1.9*1.9*2.6)</f>
        <v>12.48</v>
      </c>
      <c r="G121" s="217"/>
      <c r="H121" s="140">
        <f>G121*(1+$I$9)</f>
        <v>0</v>
      </c>
      <c r="I121" s="216">
        <f>ROUND((F121*H121),2)</f>
        <v>0</v>
      </c>
    </row>
    <row r="122" spans="1:9" s="264" customFormat="1" ht="12.75" customHeight="1">
      <c r="A122" s="442" t="str">
        <f>CONCATENATE("SUBTOTAL ",A117)</f>
        <v>SUBTOTAL 1</v>
      </c>
      <c r="B122" s="443"/>
      <c r="C122" s="443"/>
      <c r="D122" s="443"/>
      <c r="E122" s="443"/>
      <c r="F122" s="443"/>
      <c r="G122" s="443"/>
      <c r="H122" s="444"/>
      <c r="I122" s="265">
        <f>SUM(I119:I121)</f>
        <v>0</v>
      </c>
    </row>
    <row r="123" spans="1:9" s="264" customFormat="1">
      <c r="A123" s="262">
        <v>2</v>
      </c>
      <c r="B123" s="448" t="s">
        <v>490</v>
      </c>
      <c r="C123" s="449"/>
      <c r="D123" s="449"/>
      <c r="E123" s="449"/>
      <c r="F123" s="449"/>
      <c r="G123" s="449"/>
      <c r="H123" s="449"/>
      <c r="I123" s="450"/>
    </row>
    <row r="124" spans="1:9" s="264" customFormat="1">
      <c r="A124" s="284" t="s">
        <v>8</v>
      </c>
      <c r="B124" s="451" t="s">
        <v>491</v>
      </c>
      <c r="C124" s="452"/>
      <c r="D124" s="452"/>
      <c r="E124" s="452"/>
      <c r="F124" s="452"/>
      <c r="G124" s="452"/>
      <c r="H124" s="452"/>
      <c r="I124" s="453"/>
    </row>
    <row r="125" spans="1:9" s="135" customFormat="1" ht="22.5">
      <c r="A125" s="136" t="s">
        <v>221</v>
      </c>
      <c r="B125" s="238" t="s">
        <v>310</v>
      </c>
      <c r="C125" s="137" t="s">
        <v>142</v>
      </c>
      <c r="D125" s="162" t="s">
        <v>200</v>
      </c>
      <c r="E125" s="139" t="s">
        <v>5</v>
      </c>
      <c r="F125" s="232">
        <v>1</v>
      </c>
      <c r="G125" s="140"/>
      <c r="H125" s="140">
        <f t="shared" ref="H125:H127" si="20">G125*(1+$I$9)</f>
        <v>0</v>
      </c>
      <c r="I125" s="141">
        <f t="shared" ref="I125:I127" si="21">TRUNC(F125*H125,2)</f>
        <v>0</v>
      </c>
    </row>
    <row r="126" spans="1:9" s="135" customFormat="1">
      <c r="A126" s="136" t="s">
        <v>222</v>
      </c>
      <c r="B126" s="153" t="s">
        <v>145</v>
      </c>
      <c r="C126" s="152" t="s">
        <v>236</v>
      </c>
      <c r="D126" s="162" t="s">
        <v>131</v>
      </c>
      <c r="E126" s="139" t="s">
        <v>5</v>
      </c>
      <c r="F126" s="232">
        <v>1</v>
      </c>
      <c r="G126" s="141"/>
      <c r="H126" s="140">
        <f t="shared" si="20"/>
        <v>0</v>
      </c>
      <c r="I126" s="141">
        <f t="shared" si="21"/>
        <v>0</v>
      </c>
    </row>
    <row r="127" spans="1:9" s="135" customFormat="1" ht="22.5">
      <c r="A127" s="136" t="s">
        <v>223</v>
      </c>
      <c r="B127" s="153" t="s">
        <v>145</v>
      </c>
      <c r="C127" s="152" t="s">
        <v>236</v>
      </c>
      <c r="D127" s="162" t="s">
        <v>311</v>
      </c>
      <c r="E127" s="139" t="s">
        <v>5</v>
      </c>
      <c r="F127" s="247">
        <v>1</v>
      </c>
      <c r="G127" s="141"/>
      <c r="H127" s="140">
        <f t="shared" si="20"/>
        <v>0</v>
      </c>
      <c r="I127" s="141">
        <f t="shared" si="21"/>
        <v>0</v>
      </c>
    </row>
    <row r="128" spans="1:9" s="264" customFormat="1">
      <c r="A128" s="284" t="s">
        <v>9</v>
      </c>
      <c r="B128" s="451" t="s">
        <v>492</v>
      </c>
      <c r="C128" s="452"/>
      <c r="D128" s="452"/>
      <c r="E128" s="452"/>
      <c r="F128" s="452"/>
      <c r="G128" s="452"/>
      <c r="H128" s="452"/>
      <c r="I128" s="453"/>
    </row>
    <row r="129" spans="1:9" s="135" customFormat="1" ht="45">
      <c r="A129" s="136" t="s">
        <v>251</v>
      </c>
      <c r="B129" s="153" t="str">
        <f>Composições!$A$52</f>
        <v>COMP. 05</v>
      </c>
      <c r="C129" s="137" t="s">
        <v>497</v>
      </c>
      <c r="D129" s="138" t="str">
        <f>Composições!$A$51</f>
        <v>INSTALAÇÃO DE MACROMEDIDOR DE VAZÃO, TIPO INSERÇÃO, NÃO INTRUSIVO, INCLUSIVE A REALIZAÇÃO DE PITOMETRIA</v>
      </c>
      <c r="E129" s="139" t="s">
        <v>5</v>
      </c>
      <c r="F129" s="247">
        <v>1</v>
      </c>
      <c r="G129" s="141"/>
      <c r="H129" s="140">
        <f>G129*(1+$I$9)</f>
        <v>0</v>
      </c>
      <c r="I129" s="141">
        <f t="shared" ref="I129" si="22">TRUNC(F129*H129,2)</f>
        <v>0</v>
      </c>
    </row>
    <row r="130" spans="1:9" s="264" customFormat="1">
      <c r="A130" s="284" t="s">
        <v>68</v>
      </c>
      <c r="B130" s="451" t="s">
        <v>493</v>
      </c>
      <c r="C130" s="452"/>
      <c r="D130" s="452"/>
      <c r="E130" s="452"/>
      <c r="F130" s="452"/>
      <c r="G130" s="452"/>
      <c r="H130" s="452"/>
      <c r="I130" s="453"/>
    </row>
    <row r="131" spans="1:9" s="135" customFormat="1" ht="45">
      <c r="A131" s="136" t="s">
        <v>496</v>
      </c>
      <c r="B131" s="153" t="str">
        <f>Composições!$A$10</f>
        <v>COMP. 01</v>
      </c>
      <c r="C131" s="137" t="s">
        <v>497</v>
      </c>
      <c r="D131" s="138" t="str">
        <f>Composições!$A$9</f>
        <v>CAIXA PARA PROTEÇÃO PARA MACROMEDIDOR DE VAZÃO TIPO INSERÇÃO - 1,60 X 1,60 M - LOCALIZADOS EM ÁREA INTERNA</v>
      </c>
      <c r="E131" s="139" t="s">
        <v>5</v>
      </c>
      <c r="F131" s="247">
        <v>1</v>
      </c>
      <c r="G131" s="141"/>
      <c r="H131" s="140">
        <f>G131*(1+$I$9)</f>
        <v>0</v>
      </c>
      <c r="I131" s="141">
        <f t="shared" ref="I131" si="23">TRUNC(F131*H131,2)</f>
        <v>0</v>
      </c>
    </row>
    <row r="132" spans="1:9" s="264" customFormat="1" ht="12.75" customHeight="1">
      <c r="A132" s="442" t="s">
        <v>500</v>
      </c>
      <c r="B132" s="443"/>
      <c r="C132" s="443"/>
      <c r="D132" s="443"/>
      <c r="E132" s="443"/>
      <c r="F132" s="443"/>
      <c r="G132" s="443"/>
      <c r="H132" s="444"/>
      <c r="I132" s="265">
        <f>SUM(I125:I131)</f>
        <v>0</v>
      </c>
    </row>
    <row r="133" spans="1:9" ht="18" customHeight="1">
      <c r="A133" s="423" t="s">
        <v>517</v>
      </c>
      <c r="B133" s="424"/>
      <c r="C133" s="424"/>
      <c r="D133" s="424"/>
      <c r="E133" s="424"/>
      <c r="F133" s="424"/>
      <c r="G133" s="424"/>
      <c r="H133" s="425"/>
      <c r="I133" s="257">
        <f>I132+I122</f>
        <v>0</v>
      </c>
    </row>
    <row r="134" spans="1:9" s="135" customFormat="1" ht="16.5" customHeight="1">
      <c r="A134" s="445" t="s">
        <v>518</v>
      </c>
      <c r="B134" s="446"/>
      <c r="C134" s="446"/>
      <c r="D134" s="446"/>
      <c r="E134" s="446"/>
      <c r="F134" s="446"/>
      <c r="G134" s="446"/>
      <c r="H134" s="446"/>
      <c r="I134" s="447"/>
    </row>
    <row r="135" spans="1:9" s="134" customFormat="1" ht="33.75">
      <c r="A135" s="128" t="s">
        <v>1</v>
      </c>
      <c r="B135" s="128" t="s">
        <v>3</v>
      </c>
      <c r="C135" s="128" t="s">
        <v>15</v>
      </c>
      <c r="D135" s="128" t="s">
        <v>2</v>
      </c>
      <c r="E135" s="128" t="s">
        <v>316</v>
      </c>
      <c r="F135" s="185" t="s">
        <v>158</v>
      </c>
      <c r="G135" s="251" t="s">
        <v>159</v>
      </c>
      <c r="H135" s="251" t="s">
        <v>160</v>
      </c>
      <c r="I135" s="250" t="s">
        <v>161</v>
      </c>
    </row>
    <row r="136" spans="1:9" s="264" customFormat="1">
      <c r="A136" s="262">
        <v>1</v>
      </c>
      <c r="B136" s="448" t="s">
        <v>246</v>
      </c>
      <c r="C136" s="449"/>
      <c r="D136" s="449"/>
      <c r="E136" s="449"/>
      <c r="F136" s="449"/>
      <c r="G136" s="449"/>
      <c r="H136" s="449"/>
      <c r="I136" s="450"/>
    </row>
    <row r="137" spans="1:9" s="264" customFormat="1">
      <c r="A137" s="284" t="s">
        <v>4</v>
      </c>
      <c r="B137" s="451" t="s">
        <v>247</v>
      </c>
      <c r="C137" s="452"/>
      <c r="D137" s="452"/>
      <c r="E137" s="452"/>
      <c r="F137" s="452"/>
      <c r="G137" s="452"/>
      <c r="H137" s="452"/>
      <c r="I137" s="453"/>
    </row>
    <row r="138" spans="1:9" s="264" customFormat="1" ht="33.75">
      <c r="A138" s="215" t="s">
        <v>162</v>
      </c>
      <c r="B138" s="215">
        <v>70030060</v>
      </c>
      <c r="C138" s="215" t="s">
        <v>142</v>
      </c>
      <c r="D138" s="219" t="s">
        <v>249</v>
      </c>
      <c r="E138" s="215" t="s">
        <v>287</v>
      </c>
      <c r="F138" s="254">
        <f>2.9*2.9*2.6*2</f>
        <v>43.731999999999999</v>
      </c>
      <c r="G138" s="217"/>
      <c r="H138" s="140">
        <f>G138*(1+$I$9)</f>
        <v>0</v>
      </c>
      <c r="I138" s="216">
        <f>ROUND((F138*H138),2)</f>
        <v>0</v>
      </c>
    </row>
    <row r="139" spans="1:9" s="264" customFormat="1">
      <c r="A139" s="284" t="s">
        <v>123</v>
      </c>
      <c r="B139" s="451" t="s">
        <v>250</v>
      </c>
      <c r="C139" s="452"/>
      <c r="D139" s="452"/>
      <c r="E139" s="452"/>
      <c r="F139" s="452"/>
      <c r="G139" s="452"/>
      <c r="H139" s="452"/>
      <c r="I139" s="453"/>
    </row>
    <row r="140" spans="1:9" s="264" customFormat="1" ht="45">
      <c r="A140" s="215" t="s">
        <v>180</v>
      </c>
      <c r="B140" s="215">
        <v>70030020</v>
      </c>
      <c r="C140" s="215" t="s">
        <v>142</v>
      </c>
      <c r="D140" s="219" t="s">
        <v>252</v>
      </c>
      <c r="E140" s="215" t="s">
        <v>287</v>
      </c>
      <c r="F140" s="254">
        <f>F138-(1.9*1.9*2.6)</f>
        <v>34.346000000000004</v>
      </c>
      <c r="G140" s="217"/>
      <c r="H140" s="140">
        <f>G140*(1+$I$9)</f>
        <v>0</v>
      </c>
      <c r="I140" s="216">
        <f>ROUND((F140*H140),2)</f>
        <v>0</v>
      </c>
    </row>
    <row r="141" spans="1:9" s="264" customFormat="1" ht="12.75" customHeight="1">
      <c r="A141" s="442" t="str">
        <f>CONCATENATE("SUBTOTAL ",A136)</f>
        <v>SUBTOTAL 1</v>
      </c>
      <c r="B141" s="443"/>
      <c r="C141" s="443"/>
      <c r="D141" s="443"/>
      <c r="E141" s="443"/>
      <c r="F141" s="443"/>
      <c r="G141" s="443"/>
      <c r="H141" s="444"/>
      <c r="I141" s="265">
        <f>SUM(I138:I140)</f>
        <v>0</v>
      </c>
    </row>
    <row r="142" spans="1:9" s="264" customFormat="1">
      <c r="A142" s="262">
        <v>2</v>
      </c>
      <c r="B142" s="448" t="s">
        <v>490</v>
      </c>
      <c r="C142" s="449"/>
      <c r="D142" s="449"/>
      <c r="E142" s="449"/>
      <c r="F142" s="449"/>
      <c r="G142" s="449"/>
      <c r="H142" s="449"/>
      <c r="I142" s="450"/>
    </row>
    <row r="143" spans="1:9" s="264" customFormat="1">
      <c r="A143" s="284" t="s">
        <v>8</v>
      </c>
      <c r="B143" s="451" t="s">
        <v>491</v>
      </c>
      <c r="C143" s="452"/>
      <c r="D143" s="452"/>
      <c r="E143" s="452"/>
      <c r="F143" s="452"/>
      <c r="G143" s="452"/>
      <c r="H143" s="452"/>
      <c r="I143" s="453"/>
    </row>
    <row r="144" spans="1:9" s="135" customFormat="1" ht="22.5">
      <c r="A144" s="136" t="s">
        <v>494</v>
      </c>
      <c r="B144" s="238" t="s">
        <v>310</v>
      </c>
      <c r="C144" s="137" t="s">
        <v>142</v>
      </c>
      <c r="D144" s="184" t="s">
        <v>201</v>
      </c>
      <c r="E144" s="139" t="s">
        <v>5</v>
      </c>
      <c r="F144" s="232">
        <v>1</v>
      </c>
      <c r="G144" s="140"/>
      <c r="H144" s="140">
        <f t="shared" ref="H144:H148" si="24">G144*(1+$I$9)</f>
        <v>0</v>
      </c>
      <c r="I144" s="141">
        <f t="shared" ref="I144:I148" si="25">TRUNC(F144*H144,2)</f>
        <v>0</v>
      </c>
    </row>
    <row r="145" spans="1:9" s="135" customFormat="1">
      <c r="A145" s="136" t="s">
        <v>495</v>
      </c>
      <c r="B145" s="238" t="s">
        <v>145</v>
      </c>
      <c r="C145" s="152" t="s">
        <v>236</v>
      </c>
      <c r="D145" s="184" t="s">
        <v>131</v>
      </c>
      <c r="E145" s="139" t="s">
        <v>5</v>
      </c>
      <c r="F145" s="232">
        <v>3</v>
      </c>
      <c r="G145" s="141"/>
      <c r="H145" s="140">
        <f t="shared" si="24"/>
        <v>0</v>
      </c>
      <c r="I145" s="141">
        <f t="shared" si="25"/>
        <v>0</v>
      </c>
    </row>
    <row r="146" spans="1:9" s="135" customFormat="1" ht="22.5">
      <c r="A146" s="136" t="s">
        <v>502</v>
      </c>
      <c r="B146" s="153" t="s">
        <v>145</v>
      </c>
      <c r="C146" s="152" t="s">
        <v>236</v>
      </c>
      <c r="D146" s="162" t="s">
        <v>311</v>
      </c>
      <c r="E146" s="139" t="s">
        <v>5</v>
      </c>
      <c r="F146" s="247">
        <v>3</v>
      </c>
      <c r="G146" s="141"/>
      <c r="H146" s="140">
        <f t="shared" si="24"/>
        <v>0</v>
      </c>
      <c r="I146" s="141">
        <f t="shared" si="25"/>
        <v>0</v>
      </c>
    </row>
    <row r="147" spans="1:9" s="135" customFormat="1" ht="22.5">
      <c r="A147" s="136" t="s">
        <v>503</v>
      </c>
      <c r="B147" s="238" t="s">
        <v>310</v>
      </c>
      <c r="C147" s="137" t="s">
        <v>142</v>
      </c>
      <c r="D147" s="184" t="s">
        <v>199</v>
      </c>
      <c r="E147" s="139" t="s">
        <v>5</v>
      </c>
      <c r="F147" s="232">
        <v>1</v>
      </c>
      <c r="G147" s="140"/>
      <c r="H147" s="140">
        <f t="shared" si="24"/>
        <v>0</v>
      </c>
      <c r="I147" s="141">
        <f t="shared" si="25"/>
        <v>0</v>
      </c>
    </row>
    <row r="148" spans="1:9" s="135" customFormat="1" ht="22.5">
      <c r="A148" s="136" t="s">
        <v>504</v>
      </c>
      <c r="B148" s="238" t="s">
        <v>310</v>
      </c>
      <c r="C148" s="137" t="s">
        <v>142</v>
      </c>
      <c r="D148" s="162" t="s">
        <v>200</v>
      </c>
      <c r="E148" s="139" t="s">
        <v>5</v>
      </c>
      <c r="F148" s="232">
        <v>2</v>
      </c>
      <c r="G148" s="140"/>
      <c r="H148" s="140">
        <f t="shared" si="24"/>
        <v>0</v>
      </c>
      <c r="I148" s="141">
        <f t="shared" si="25"/>
        <v>0</v>
      </c>
    </row>
    <row r="149" spans="1:9" s="264" customFormat="1">
      <c r="A149" s="284" t="s">
        <v>9</v>
      </c>
      <c r="B149" s="451" t="s">
        <v>492</v>
      </c>
      <c r="C149" s="452"/>
      <c r="D149" s="452"/>
      <c r="E149" s="452"/>
      <c r="F149" s="452"/>
      <c r="G149" s="452"/>
      <c r="H149" s="452"/>
      <c r="I149" s="453"/>
    </row>
    <row r="150" spans="1:9" s="135" customFormat="1" ht="45">
      <c r="A150" s="136" t="s">
        <v>251</v>
      </c>
      <c r="B150" s="153" t="str">
        <f>Composições!$A$52</f>
        <v>COMP. 05</v>
      </c>
      <c r="C150" s="137" t="s">
        <v>497</v>
      </c>
      <c r="D150" s="138" t="str">
        <f>Composições!$A$51</f>
        <v>INSTALAÇÃO DE MACROMEDIDOR DE VAZÃO, TIPO INSERÇÃO, NÃO INTRUSIVO, INCLUSIVE A REALIZAÇÃO DE PITOMETRIA</v>
      </c>
      <c r="E150" s="139" t="s">
        <v>5</v>
      </c>
      <c r="F150" s="247">
        <v>3</v>
      </c>
      <c r="G150" s="141"/>
      <c r="H150" s="140">
        <f>G150*(1+$I$9)</f>
        <v>0</v>
      </c>
      <c r="I150" s="141">
        <f t="shared" ref="I150" si="26">TRUNC(F150*H150,2)</f>
        <v>0</v>
      </c>
    </row>
    <row r="151" spans="1:9" s="264" customFormat="1">
      <c r="A151" s="284" t="s">
        <v>68</v>
      </c>
      <c r="B151" s="451" t="s">
        <v>493</v>
      </c>
      <c r="C151" s="452"/>
      <c r="D151" s="452"/>
      <c r="E151" s="452"/>
      <c r="F151" s="452"/>
      <c r="G151" s="452"/>
      <c r="H151" s="452"/>
      <c r="I151" s="453"/>
    </row>
    <row r="152" spans="1:9" s="135" customFormat="1" ht="45">
      <c r="A152" s="136" t="s">
        <v>496</v>
      </c>
      <c r="B152" s="153" t="str">
        <f>Composições!$A$10</f>
        <v>COMP. 01</v>
      </c>
      <c r="C152" s="137" t="s">
        <v>497</v>
      </c>
      <c r="D152" s="138" t="str">
        <f>Composições!$A$9</f>
        <v>CAIXA PARA PROTEÇÃO PARA MACROMEDIDOR DE VAZÃO TIPO INSERÇÃO - 1,60 X 1,60 M - LOCALIZADOS EM ÁREA INTERNA</v>
      </c>
      <c r="E152" s="139" t="s">
        <v>5</v>
      </c>
      <c r="F152" s="247">
        <v>2</v>
      </c>
      <c r="G152" s="141"/>
      <c r="H152" s="140">
        <f t="shared" ref="H152:H153" si="27">G152*(1+$I$9)</f>
        <v>0</v>
      </c>
      <c r="I152" s="141">
        <f t="shared" ref="I152" si="28">TRUNC(F152*H152,2)</f>
        <v>0</v>
      </c>
    </row>
    <row r="153" spans="1:9" s="324" customFormat="1" ht="33.75">
      <c r="A153" s="223" t="s">
        <v>520</v>
      </c>
      <c r="B153" s="246" t="str">
        <f>Composições!A42</f>
        <v>COMP. 04</v>
      </c>
      <c r="C153" s="152" t="s">
        <v>497</v>
      </c>
      <c r="D153" s="184" t="str">
        <f>Composições!A41</f>
        <v>AMPLIAÇÃO DE CAIXA PARA PROTEÇÃO PARA MACROMEDIDOR DE VAZÃO TIPO INSERÇÃO - CR-09</v>
      </c>
      <c r="E153" s="223" t="s">
        <v>5</v>
      </c>
      <c r="F153" s="249">
        <v>1</v>
      </c>
      <c r="G153" s="225"/>
      <c r="H153" s="140">
        <f t="shared" si="27"/>
        <v>0</v>
      </c>
      <c r="I153" s="225">
        <f>TRUNC(F153*H153,2)</f>
        <v>0</v>
      </c>
    </row>
    <row r="154" spans="1:9" s="264" customFormat="1" ht="12.75" customHeight="1">
      <c r="A154" s="442" t="s">
        <v>500</v>
      </c>
      <c r="B154" s="443"/>
      <c r="C154" s="443"/>
      <c r="D154" s="443"/>
      <c r="E154" s="443"/>
      <c r="F154" s="443"/>
      <c r="G154" s="443"/>
      <c r="H154" s="444"/>
      <c r="I154" s="265">
        <f>SUM(I144:I153)</f>
        <v>0</v>
      </c>
    </row>
    <row r="155" spans="1:9" ht="18" customHeight="1">
      <c r="A155" s="423" t="s">
        <v>519</v>
      </c>
      <c r="B155" s="424"/>
      <c r="C155" s="424"/>
      <c r="D155" s="424"/>
      <c r="E155" s="424"/>
      <c r="F155" s="424"/>
      <c r="G155" s="424"/>
      <c r="H155" s="425"/>
      <c r="I155" s="257">
        <f>I154+I141</f>
        <v>0</v>
      </c>
    </row>
    <row r="156" spans="1:9" s="135" customFormat="1" ht="16.5" customHeight="1">
      <c r="A156" s="445" t="s">
        <v>521</v>
      </c>
      <c r="B156" s="446"/>
      <c r="C156" s="446"/>
      <c r="D156" s="446"/>
      <c r="E156" s="446"/>
      <c r="F156" s="446"/>
      <c r="G156" s="446"/>
      <c r="H156" s="446"/>
      <c r="I156" s="447"/>
    </row>
    <row r="157" spans="1:9" s="134" customFormat="1" ht="33.75">
      <c r="A157" s="128" t="s">
        <v>1</v>
      </c>
      <c r="B157" s="128" t="s">
        <v>3</v>
      </c>
      <c r="C157" s="128" t="s">
        <v>15</v>
      </c>
      <c r="D157" s="128" t="s">
        <v>2</v>
      </c>
      <c r="E157" s="128" t="s">
        <v>316</v>
      </c>
      <c r="F157" s="185" t="s">
        <v>158</v>
      </c>
      <c r="G157" s="251" t="s">
        <v>159</v>
      </c>
      <c r="H157" s="251" t="s">
        <v>160</v>
      </c>
      <c r="I157" s="250" t="s">
        <v>161</v>
      </c>
    </row>
    <row r="158" spans="1:9" s="264" customFormat="1">
      <c r="A158" s="262">
        <v>1</v>
      </c>
      <c r="B158" s="448" t="s">
        <v>490</v>
      </c>
      <c r="C158" s="449"/>
      <c r="D158" s="449"/>
      <c r="E158" s="449"/>
      <c r="F158" s="449"/>
      <c r="G158" s="449"/>
      <c r="H158" s="449"/>
      <c r="I158" s="450"/>
    </row>
    <row r="159" spans="1:9" s="264" customFormat="1">
      <c r="A159" s="284" t="s">
        <v>4</v>
      </c>
      <c r="B159" s="451" t="s">
        <v>491</v>
      </c>
      <c r="C159" s="452"/>
      <c r="D159" s="452"/>
      <c r="E159" s="452"/>
      <c r="F159" s="452"/>
      <c r="G159" s="452"/>
      <c r="H159" s="452"/>
      <c r="I159" s="453"/>
    </row>
    <row r="160" spans="1:9" s="135" customFormat="1" ht="22.5">
      <c r="A160" s="136" t="s">
        <v>162</v>
      </c>
      <c r="B160" s="238" t="s">
        <v>310</v>
      </c>
      <c r="C160" s="137" t="s">
        <v>142</v>
      </c>
      <c r="D160" s="184" t="s">
        <v>199</v>
      </c>
      <c r="E160" s="139" t="s">
        <v>5</v>
      </c>
      <c r="F160" s="232">
        <v>1</v>
      </c>
      <c r="G160" s="140"/>
      <c r="H160" s="140">
        <f t="shared" ref="H160:H162" si="29">G160*(1+$I$9)</f>
        <v>0</v>
      </c>
      <c r="I160" s="141">
        <f t="shared" ref="I160:I162" si="30">TRUNC(F160*H160,2)</f>
        <v>0</v>
      </c>
    </row>
    <row r="161" spans="1:9" s="135" customFormat="1">
      <c r="A161" s="136" t="s">
        <v>165</v>
      </c>
      <c r="B161" s="238" t="s">
        <v>145</v>
      </c>
      <c r="C161" s="152" t="s">
        <v>236</v>
      </c>
      <c r="D161" s="184" t="s">
        <v>131</v>
      </c>
      <c r="E161" s="139" t="s">
        <v>5</v>
      </c>
      <c r="F161" s="232">
        <v>1</v>
      </c>
      <c r="G161" s="141"/>
      <c r="H161" s="140">
        <f t="shared" si="29"/>
        <v>0</v>
      </c>
      <c r="I161" s="141">
        <f t="shared" si="30"/>
        <v>0</v>
      </c>
    </row>
    <row r="162" spans="1:9" s="135" customFormat="1" ht="22.5">
      <c r="A162" s="136" t="s">
        <v>170</v>
      </c>
      <c r="B162" s="153" t="s">
        <v>145</v>
      </c>
      <c r="C162" s="152" t="s">
        <v>236</v>
      </c>
      <c r="D162" s="162" t="s">
        <v>311</v>
      </c>
      <c r="E162" s="139" t="s">
        <v>5</v>
      </c>
      <c r="F162" s="247">
        <v>1</v>
      </c>
      <c r="G162" s="141"/>
      <c r="H162" s="140">
        <f t="shared" si="29"/>
        <v>0</v>
      </c>
      <c r="I162" s="141">
        <f t="shared" si="30"/>
        <v>0</v>
      </c>
    </row>
    <row r="163" spans="1:9" s="264" customFormat="1">
      <c r="A163" s="284" t="s">
        <v>123</v>
      </c>
      <c r="B163" s="451" t="s">
        <v>492</v>
      </c>
      <c r="C163" s="452"/>
      <c r="D163" s="452"/>
      <c r="E163" s="452"/>
      <c r="F163" s="452"/>
      <c r="G163" s="452"/>
      <c r="H163" s="452"/>
      <c r="I163" s="453"/>
    </row>
    <row r="164" spans="1:9" s="135" customFormat="1" ht="45">
      <c r="A164" s="136" t="s">
        <v>180</v>
      </c>
      <c r="B164" s="153" t="str">
        <f>Composições!$A$52</f>
        <v>COMP. 05</v>
      </c>
      <c r="C164" s="137" t="s">
        <v>497</v>
      </c>
      <c r="D164" s="138" t="str">
        <f>Composições!$A$51</f>
        <v>INSTALAÇÃO DE MACROMEDIDOR DE VAZÃO, TIPO INSERÇÃO, NÃO INTRUSIVO, INCLUSIVE A REALIZAÇÃO DE PITOMETRIA</v>
      </c>
      <c r="E164" s="139" t="s">
        <v>5</v>
      </c>
      <c r="F164" s="247">
        <v>1</v>
      </c>
      <c r="G164" s="141"/>
      <c r="H164" s="140">
        <f>G164*(1+$I$9)</f>
        <v>0</v>
      </c>
      <c r="I164" s="141">
        <f t="shared" ref="I164" si="31">TRUNC(F164*H164,2)</f>
        <v>0</v>
      </c>
    </row>
    <row r="165" spans="1:9" s="264" customFormat="1" ht="12.75" customHeight="1">
      <c r="A165" s="442" t="s">
        <v>500</v>
      </c>
      <c r="B165" s="443"/>
      <c r="C165" s="443"/>
      <c r="D165" s="443"/>
      <c r="E165" s="443"/>
      <c r="F165" s="443"/>
      <c r="G165" s="443"/>
      <c r="H165" s="444"/>
      <c r="I165" s="265">
        <f>SUM(I159:I164)</f>
        <v>0</v>
      </c>
    </row>
    <row r="166" spans="1:9" ht="18" customHeight="1">
      <c r="A166" s="423" t="s">
        <v>522</v>
      </c>
      <c r="B166" s="424"/>
      <c r="C166" s="424"/>
      <c r="D166" s="424"/>
      <c r="E166" s="424"/>
      <c r="F166" s="424"/>
      <c r="G166" s="424"/>
      <c r="H166" s="425"/>
      <c r="I166" s="257">
        <f>I165</f>
        <v>0</v>
      </c>
    </row>
    <row r="167" spans="1:9" s="135" customFormat="1" ht="16.5" customHeight="1">
      <c r="A167" s="445" t="s">
        <v>523</v>
      </c>
      <c r="B167" s="446"/>
      <c r="C167" s="446"/>
      <c r="D167" s="446"/>
      <c r="E167" s="446"/>
      <c r="F167" s="446"/>
      <c r="G167" s="446"/>
      <c r="H167" s="446"/>
      <c r="I167" s="447"/>
    </row>
    <row r="168" spans="1:9" s="134" customFormat="1" ht="33.75">
      <c r="A168" s="128" t="s">
        <v>1</v>
      </c>
      <c r="B168" s="128" t="s">
        <v>3</v>
      </c>
      <c r="C168" s="128" t="s">
        <v>15</v>
      </c>
      <c r="D168" s="128" t="s">
        <v>2</v>
      </c>
      <c r="E168" s="128" t="s">
        <v>316</v>
      </c>
      <c r="F168" s="185" t="s">
        <v>158</v>
      </c>
      <c r="G168" s="251" t="s">
        <v>159</v>
      </c>
      <c r="H168" s="251" t="s">
        <v>160</v>
      </c>
      <c r="I168" s="250" t="s">
        <v>161</v>
      </c>
    </row>
    <row r="169" spans="1:9" s="264" customFormat="1">
      <c r="A169" s="262">
        <v>1</v>
      </c>
      <c r="B169" s="448" t="s">
        <v>246</v>
      </c>
      <c r="C169" s="449"/>
      <c r="D169" s="449"/>
      <c r="E169" s="449"/>
      <c r="F169" s="449"/>
      <c r="G169" s="449"/>
      <c r="H169" s="449"/>
      <c r="I169" s="450"/>
    </row>
    <row r="170" spans="1:9" s="264" customFormat="1">
      <c r="A170" s="284" t="s">
        <v>4</v>
      </c>
      <c r="B170" s="451" t="s">
        <v>247</v>
      </c>
      <c r="C170" s="452"/>
      <c r="D170" s="452"/>
      <c r="E170" s="452"/>
      <c r="F170" s="452"/>
      <c r="G170" s="452"/>
      <c r="H170" s="452"/>
      <c r="I170" s="453"/>
    </row>
    <row r="171" spans="1:9" s="264" customFormat="1" ht="33.75">
      <c r="A171" s="215" t="s">
        <v>162</v>
      </c>
      <c r="B171" s="215">
        <v>70030060</v>
      </c>
      <c r="C171" s="215" t="s">
        <v>142</v>
      </c>
      <c r="D171" s="219" t="s">
        <v>249</v>
      </c>
      <c r="E171" s="215" t="s">
        <v>287</v>
      </c>
      <c r="F171" s="254">
        <f>2.9*2.9*2.6</f>
        <v>21.866</v>
      </c>
      <c r="G171" s="217"/>
      <c r="H171" s="140">
        <f>G171*(1+$I$9)</f>
        <v>0</v>
      </c>
      <c r="I171" s="216">
        <f>ROUND((F171*H171),2)</f>
        <v>0</v>
      </c>
    </row>
    <row r="172" spans="1:9" s="264" customFormat="1">
      <c r="A172" s="284" t="s">
        <v>123</v>
      </c>
      <c r="B172" s="451" t="s">
        <v>250</v>
      </c>
      <c r="C172" s="452"/>
      <c r="D172" s="452"/>
      <c r="E172" s="452"/>
      <c r="F172" s="452"/>
      <c r="G172" s="452"/>
      <c r="H172" s="452"/>
      <c r="I172" s="453"/>
    </row>
    <row r="173" spans="1:9" s="264" customFormat="1" ht="45">
      <c r="A173" s="215" t="s">
        <v>180</v>
      </c>
      <c r="B173" s="215">
        <v>70030020</v>
      </c>
      <c r="C173" s="215" t="s">
        <v>142</v>
      </c>
      <c r="D173" s="219" t="s">
        <v>252</v>
      </c>
      <c r="E173" s="215" t="s">
        <v>287</v>
      </c>
      <c r="F173" s="254">
        <f>F171-(1.9*1.9*2.6)</f>
        <v>12.48</v>
      </c>
      <c r="G173" s="217"/>
      <c r="H173" s="140">
        <f>G173*(1+$I$9)</f>
        <v>0</v>
      </c>
      <c r="I173" s="216">
        <f>ROUND((F173*H173),2)</f>
        <v>0</v>
      </c>
    </row>
    <row r="174" spans="1:9" s="264" customFormat="1" ht="12.75" customHeight="1">
      <c r="A174" s="442" t="str">
        <f>CONCATENATE("SUBTOTAL ",A169)</f>
        <v>SUBTOTAL 1</v>
      </c>
      <c r="B174" s="443"/>
      <c r="C174" s="443"/>
      <c r="D174" s="443"/>
      <c r="E174" s="443"/>
      <c r="F174" s="443"/>
      <c r="G174" s="443"/>
      <c r="H174" s="444"/>
      <c r="I174" s="265">
        <f>SUM(I171:I173)</f>
        <v>0</v>
      </c>
    </row>
    <row r="175" spans="1:9" s="264" customFormat="1">
      <c r="A175" s="262">
        <v>2</v>
      </c>
      <c r="B175" s="448" t="s">
        <v>490</v>
      </c>
      <c r="C175" s="449"/>
      <c r="D175" s="449"/>
      <c r="E175" s="449"/>
      <c r="F175" s="449"/>
      <c r="G175" s="449"/>
      <c r="H175" s="449"/>
      <c r="I175" s="450"/>
    </row>
    <row r="176" spans="1:9" s="264" customFormat="1">
      <c r="A176" s="284" t="s">
        <v>8</v>
      </c>
      <c r="B176" s="451" t="s">
        <v>491</v>
      </c>
      <c r="C176" s="452"/>
      <c r="D176" s="452"/>
      <c r="E176" s="452"/>
      <c r="F176" s="452"/>
      <c r="G176" s="452"/>
      <c r="H176" s="452"/>
      <c r="I176" s="453"/>
    </row>
    <row r="177" spans="1:9" s="135" customFormat="1" ht="22.5">
      <c r="A177" s="136" t="s">
        <v>248</v>
      </c>
      <c r="B177" s="238" t="s">
        <v>145</v>
      </c>
      <c r="C177" s="152" t="s">
        <v>236</v>
      </c>
      <c r="D177" s="184" t="s">
        <v>204</v>
      </c>
      <c r="E177" s="139" t="s">
        <v>5</v>
      </c>
      <c r="F177" s="232">
        <v>1</v>
      </c>
      <c r="G177" s="140"/>
      <c r="H177" s="140">
        <f t="shared" ref="H177:H179" si="32">G177*(1+$I$9)</f>
        <v>0</v>
      </c>
      <c r="I177" s="141">
        <f t="shared" ref="I177:I179" si="33">TRUNC(F177*H177,2)</f>
        <v>0</v>
      </c>
    </row>
    <row r="178" spans="1:9" s="135" customFormat="1">
      <c r="A178" s="136" t="s">
        <v>494</v>
      </c>
      <c r="B178" s="238" t="s">
        <v>145</v>
      </c>
      <c r="C178" s="152" t="s">
        <v>236</v>
      </c>
      <c r="D178" s="184" t="s">
        <v>131</v>
      </c>
      <c r="E178" s="139" t="s">
        <v>5</v>
      </c>
      <c r="F178" s="232">
        <v>1</v>
      </c>
      <c r="G178" s="141"/>
      <c r="H178" s="140">
        <f t="shared" si="32"/>
        <v>0</v>
      </c>
      <c r="I178" s="141">
        <f t="shared" si="33"/>
        <v>0</v>
      </c>
    </row>
    <row r="179" spans="1:9" s="135" customFormat="1" ht="22.5">
      <c r="A179" s="136" t="s">
        <v>495</v>
      </c>
      <c r="B179" s="153" t="s">
        <v>145</v>
      </c>
      <c r="C179" s="152" t="s">
        <v>236</v>
      </c>
      <c r="D179" s="162" t="s">
        <v>311</v>
      </c>
      <c r="E179" s="139" t="s">
        <v>5</v>
      </c>
      <c r="F179" s="247">
        <v>1</v>
      </c>
      <c r="G179" s="141"/>
      <c r="H179" s="140">
        <f t="shared" si="32"/>
        <v>0</v>
      </c>
      <c r="I179" s="141">
        <f t="shared" si="33"/>
        <v>0</v>
      </c>
    </row>
    <row r="180" spans="1:9" s="264" customFormat="1">
      <c r="A180" s="284" t="s">
        <v>9</v>
      </c>
      <c r="B180" s="451" t="s">
        <v>492</v>
      </c>
      <c r="C180" s="452"/>
      <c r="D180" s="452"/>
      <c r="E180" s="452"/>
      <c r="F180" s="452"/>
      <c r="G180" s="452"/>
      <c r="H180" s="452"/>
      <c r="I180" s="453"/>
    </row>
    <row r="181" spans="1:9" s="135" customFormat="1" ht="45">
      <c r="A181" s="136" t="s">
        <v>251</v>
      </c>
      <c r="B181" s="153" t="str">
        <f>Composições!$A$52</f>
        <v>COMP. 05</v>
      </c>
      <c r="C181" s="137" t="s">
        <v>497</v>
      </c>
      <c r="D181" s="138" t="str">
        <f>Composições!$A$51</f>
        <v>INSTALAÇÃO DE MACROMEDIDOR DE VAZÃO, TIPO INSERÇÃO, NÃO INTRUSIVO, INCLUSIVE A REALIZAÇÃO DE PITOMETRIA</v>
      </c>
      <c r="E181" s="139" t="s">
        <v>5</v>
      </c>
      <c r="F181" s="247">
        <v>1</v>
      </c>
      <c r="G181" s="141"/>
      <c r="H181" s="140">
        <f>G181*(1+$I$9)</f>
        <v>0</v>
      </c>
      <c r="I181" s="141">
        <f t="shared" ref="I181" si="34">TRUNC(F181*H181,2)</f>
        <v>0</v>
      </c>
    </row>
    <row r="182" spans="1:9" s="264" customFormat="1">
      <c r="A182" s="284" t="s">
        <v>68</v>
      </c>
      <c r="B182" s="451" t="s">
        <v>493</v>
      </c>
      <c r="C182" s="452"/>
      <c r="D182" s="452"/>
      <c r="E182" s="452"/>
      <c r="F182" s="452"/>
      <c r="G182" s="452"/>
      <c r="H182" s="452"/>
      <c r="I182" s="453"/>
    </row>
    <row r="183" spans="1:9" s="135" customFormat="1" ht="45">
      <c r="A183" s="136" t="s">
        <v>496</v>
      </c>
      <c r="B183" s="153" t="str">
        <f>Composições!$A$10</f>
        <v>COMP. 01</v>
      </c>
      <c r="C183" s="137" t="s">
        <v>497</v>
      </c>
      <c r="D183" s="138" t="str">
        <f>Composições!$A$9</f>
        <v>CAIXA PARA PROTEÇÃO PARA MACROMEDIDOR DE VAZÃO TIPO INSERÇÃO - 1,60 X 1,60 M - LOCALIZADOS EM ÁREA INTERNA</v>
      </c>
      <c r="E183" s="139" t="s">
        <v>5</v>
      </c>
      <c r="F183" s="247">
        <v>1</v>
      </c>
      <c r="G183" s="141"/>
      <c r="H183" s="140">
        <f>G183*(1+$I$9)</f>
        <v>0</v>
      </c>
      <c r="I183" s="141">
        <f t="shared" ref="I183" si="35">TRUNC(F183*H183,2)</f>
        <v>0</v>
      </c>
    </row>
    <row r="184" spans="1:9" s="264" customFormat="1" ht="12.75" customHeight="1">
      <c r="A184" s="442" t="s">
        <v>500</v>
      </c>
      <c r="B184" s="443"/>
      <c r="C184" s="443"/>
      <c r="D184" s="443"/>
      <c r="E184" s="443"/>
      <c r="F184" s="443"/>
      <c r="G184" s="443"/>
      <c r="H184" s="444"/>
      <c r="I184" s="265">
        <f>SUM(I176:I183)</f>
        <v>0</v>
      </c>
    </row>
    <row r="185" spans="1:9" ht="18" customHeight="1">
      <c r="A185" s="423" t="s">
        <v>524</v>
      </c>
      <c r="B185" s="424"/>
      <c r="C185" s="424"/>
      <c r="D185" s="424"/>
      <c r="E185" s="424"/>
      <c r="F185" s="424"/>
      <c r="G185" s="424"/>
      <c r="H185" s="425"/>
      <c r="I185" s="257">
        <f>I184+I174</f>
        <v>0</v>
      </c>
    </row>
    <row r="186" spans="1:9" s="135" customFormat="1" ht="16.5" customHeight="1">
      <c r="A186" s="445" t="s">
        <v>525</v>
      </c>
      <c r="B186" s="446"/>
      <c r="C186" s="446"/>
      <c r="D186" s="446"/>
      <c r="E186" s="446"/>
      <c r="F186" s="446"/>
      <c r="G186" s="446"/>
      <c r="H186" s="446"/>
      <c r="I186" s="447"/>
    </row>
    <row r="187" spans="1:9" s="134" customFormat="1" ht="33.75">
      <c r="A187" s="128" t="s">
        <v>1</v>
      </c>
      <c r="B187" s="128" t="s">
        <v>3</v>
      </c>
      <c r="C187" s="128" t="s">
        <v>15</v>
      </c>
      <c r="D187" s="128" t="s">
        <v>2</v>
      </c>
      <c r="E187" s="128" t="s">
        <v>316</v>
      </c>
      <c r="F187" s="185" t="s">
        <v>158</v>
      </c>
      <c r="G187" s="251" t="s">
        <v>159</v>
      </c>
      <c r="H187" s="251" t="s">
        <v>160</v>
      </c>
      <c r="I187" s="250" t="s">
        <v>161</v>
      </c>
    </row>
    <row r="188" spans="1:9" s="264" customFormat="1">
      <c r="A188" s="262">
        <v>1</v>
      </c>
      <c r="B188" s="448" t="s">
        <v>246</v>
      </c>
      <c r="C188" s="449"/>
      <c r="D188" s="449"/>
      <c r="E188" s="449"/>
      <c r="F188" s="449"/>
      <c r="G188" s="449"/>
      <c r="H188" s="449"/>
      <c r="I188" s="450"/>
    </row>
    <row r="189" spans="1:9" s="264" customFormat="1">
      <c r="A189" s="284" t="s">
        <v>4</v>
      </c>
      <c r="B189" s="451" t="s">
        <v>247</v>
      </c>
      <c r="C189" s="452"/>
      <c r="D189" s="452"/>
      <c r="E189" s="452"/>
      <c r="F189" s="452"/>
      <c r="G189" s="452"/>
      <c r="H189" s="452"/>
      <c r="I189" s="453"/>
    </row>
    <row r="190" spans="1:9" s="264" customFormat="1" ht="33.75">
      <c r="A190" s="215" t="s">
        <v>162</v>
      </c>
      <c r="B190" s="215">
        <v>70030060</v>
      </c>
      <c r="C190" s="215" t="s">
        <v>142</v>
      </c>
      <c r="D190" s="219" t="s">
        <v>249</v>
      </c>
      <c r="E190" s="215" t="s">
        <v>287</v>
      </c>
      <c r="F190" s="254">
        <f>2.9*2.9*2.6</f>
        <v>21.866</v>
      </c>
      <c r="G190" s="217"/>
      <c r="H190" s="140">
        <f>G190*(1+$I$9)</f>
        <v>0</v>
      </c>
      <c r="I190" s="216">
        <f>ROUND((F190*H190),2)</f>
        <v>0</v>
      </c>
    </row>
    <row r="191" spans="1:9" s="264" customFormat="1">
      <c r="A191" s="284" t="s">
        <v>123</v>
      </c>
      <c r="B191" s="451" t="s">
        <v>250</v>
      </c>
      <c r="C191" s="452"/>
      <c r="D191" s="452"/>
      <c r="E191" s="452"/>
      <c r="F191" s="452"/>
      <c r="G191" s="452"/>
      <c r="H191" s="452"/>
      <c r="I191" s="453"/>
    </row>
    <row r="192" spans="1:9" s="264" customFormat="1" ht="45">
      <c r="A192" s="215" t="s">
        <v>180</v>
      </c>
      <c r="B192" s="215">
        <v>70030020</v>
      </c>
      <c r="C192" s="215" t="s">
        <v>142</v>
      </c>
      <c r="D192" s="219" t="s">
        <v>252</v>
      </c>
      <c r="E192" s="215" t="s">
        <v>287</v>
      </c>
      <c r="F192" s="254">
        <f>F190-(1.9*1.9*2.6)</f>
        <v>12.48</v>
      </c>
      <c r="G192" s="217"/>
      <c r="H192" s="140">
        <f>G192*(1+$I$9)</f>
        <v>0</v>
      </c>
      <c r="I192" s="216">
        <f>ROUND((F192*H192),2)</f>
        <v>0</v>
      </c>
    </row>
    <row r="193" spans="1:9" s="264" customFormat="1" ht="12.75" customHeight="1">
      <c r="A193" s="442" t="str">
        <f>CONCATENATE("SUBTOTAL ",A188)</f>
        <v>SUBTOTAL 1</v>
      </c>
      <c r="B193" s="443"/>
      <c r="C193" s="443"/>
      <c r="D193" s="443"/>
      <c r="E193" s="443"/>
      <c r="F193" s="443"/>
      <c r="G193" s="443"/>
      <c r="H193" s="444"/>
      <c r="I193" s="265">
        <f>SUM(I190:I192)</f>
        <v>0</v>
      </c>
    </row>
    <row r="194" spans="1:9" s="264" customFormat="1">
      <c r="A194" s="262">
        <v>2</v>
      </c>
      <c r="B194" s="448" t="s">
        <v>490</v>
      </c>
      <c r="C194" s="449"/>
      <c r="D194" s="449"/>
      <c r="E194" s="449"/>
      <c r="F194" s="449"/>
      <c r="G194" s="449"/>
      <c r="H194" s="449"/>
      <c r="I194" s="450"/>
    </row>
    <row r="195" spans="1:9" s="264" customFormat="1">
      <c r="A195" s="284" t="s">
        <v>8</v>
      </c>
      <c r="B195" s="451" t="s">
        <v>491</v>
      </c>
      <c r="C195" s="452"/>
      <c r="D195" s="452"/>
      <c r="E195" s="452"/>
      <c r="F195" s="452"/>
      <c r="G195" s="452"/>
      <c r="H195" s="452"/>
      <c r="I195" s="453"/>
    </row>
    <row r="196" spans="1:9" s="135" customFormat="1" ht="22.5">
      <c r="A196" s="136" t="s">
        <v>248</v>
      </c>
      <c r="B196" s="238" t="s">
        <v>310</v>
      </c>
      <c r="C196" s="137" t="s">
        <v>142</v>
      </c>
      <c r="D196" s="184" t="s">
        <v>201</v>
      </c>
      <c r="E196" s="139" t="s">
        <v>5</v>
      </c>
      <c r="F196" s="232">
        <v>3</v>
      </c>
      <c r="G196" s="140"/>
      <c r="H196" s="140">
        <f t="shared" ref="H196:H201" si="36">G196*(1+$I$9)</f>
        <v>0</v>
      </c>
      <c r="I196" s="141">
        <f t="shared" ref="I196:I198" si="37">TRUNC(F196*H196,2)</f>
        <v>0</v>
      </c>
    </row>
    <row r="197" spans="1:9" s="135" customFormat="1">
      <c r="A197" s="136" t="s">
        <v>494</v>
      </c>
      <c r="B197" s="238" t="s">
        <v>145</v>
      </c>
      <c r="C197" s="152" t="s">
        <v>236</v>
      </c>
      <c r="D197" s="184" t="s">
        <v>131</v>
      </c>
      <c r="E197" s="139" t="s">
        <v>5</v>
      </c>
      <c r="F197" s="232">
        <v>3</v>
      </c>
      <c r="G197" s="141"/>
      <c r="H197" s="140">
        <f t="shared" si="36"/>
        <v>0</v>
      </c>
      <c r="I197" s="141">
        <f t="shared" si="37"/>
        <v>0</v>
      </c>
    </row>
    <row r="198" spans="1:9" s="135" customFormat="1" ht="22.5">
      <c r="A198" s="136" t="s">
        <v>495</v>
      </c>
      <c r="B198" s="153" t="s">
        <v>145</v>
      </c>
      <c r="C198" s="152" t="s">
        <v>236</v>
      </c>
      <c r="D198" s="162" t="s">
        <v>311</v>
      </c>
      <c r="E198" s="139" t="s">
        <v>5</v>
      </c>
      <c r="F198" s="247">
        <v>2</v>
      </c>
      <c r="G198" s="141"/>
      <c r="H198" s="140">
        <f t="shared" si="36"/>
        <v>0</v>
      </c>
      <c r="I198" s="141">
        <f t="shared" si="37"/>
        <v>0</v>
      </c>
    </row>
    <row r="199" spans="1:9" s="135" customFormat="1" ht="22.5">
      <c r="A199" s="136" t="s">
        <v>502</v>
      </c>
      <c r="B199" s="238" t="s">
        <v>229</v>
      </c>
      <c r="C199" s="137" t="s">
        <v>142</v>
      </c>
      <c r="D199" s="184" t="s">
        <v>226</v>
      </c>
      <c r="E199" s="139" t="s">
        <v>6</v>
      </c>
      <c r="F199" s="232">
        <v>2</v>
      </c>
      <c r="G199" s="140"/>
      <c r="H199" s="140">
        <f t="shared" si="36"/>
        <v>0</v>
      </c>
      <c r="I199" s="141">
        <f t="shared" ref="I199:I201" si="38">TRUNC(F199*H199,2)</f>
        <v>0</v>
      </c>
    </row>
    <row r="200" spans="1:9" s="135" customFormat="1">
      <c r="A200" s="136" t="s">
        <v>503</v>
      </c>
      <c r="B200" s="238">
        <v>4192</v>
      </c>
      <c r="C200" s="152" t="s">
        <v>146</v>
      </c>
      <c r="D200" s="184" t="s">
        <v>227</v>
      </c>
      <c r="E200" s="139" t="s">
        <v>5</v>
      </c>
      <c r="F200" s="232">
        <v>1</v>
      </c>
      <c r="G200" s="141"/>
      <c r="H200" s="140">
        <f t="shared" si="36"/>
        <v>0</v>
      </c>
      <c r="I200" s="141">
        <f t="shared" si="38"/>
        <v>0</v>
      </c>
    </row>
    <row r="201" spans="1:9" s="135" customFormat="1">
      <c r="A201" s="136" t="s">
        <v>504</v>
      </c>
      <c r="B201" s="238" t="s">
        <v>150</v>
      </c>
      <c r="C201" s="137" t="s">
        <v>142</v>
      </c>
      <c r="D201" s="184" t="s">
        <v>228</v>
      </c>
      <c r="E201" s="139" t="s">
        <v>5</v>
      </c>
      <c r="F201" s="232">
        <v>1</v>
      </c>
      <c r="G201" s="141"/>
      <c r="H201" s="140">
        <f t="shared" si="36"/>
        <v>0</v>
      </c>
      <c r="I201" s="141">
        <f t="shared" si="38"/>
        <v>0</v>
      </c>
    </row>
    <row r="202" spans="1:9" s="264" customFormat="1">
      <c r="A202" s="284" t="s">
        <v>9</v>
      </c>
      <c r="B202" s="451" t="s">
        <v>492</v>
      </c>
      <c r="C202" s="452"/>
      <c r="D202" s="452"/>
      <c r="E202" s="452"/>
      <c r="F202" s="452"/>
      <c r="G202" s="452"/>
      <c r="H202" s="452"/>
      <c r="I202" s="453"/>
    </row>
    <row r="203" spans="1:9" s="135" customFormat="1" ht="45">
      <c r="A203" s="136" t="s">
        <v>251</v>
      </c>
      <c r="B203" s="153" t="str">
        <f>Composições!$A$52</f>
        <v>COMP. 05</v>
      </c>
      <c r="C203" s="137" t="s">
        <v>497</v>
      </c>
      <c r="D203" s="138" t="str">
        <f>Composições!$A$51</f>
        <v>INSTALAÇÃO DE MACROMEDIDOR DE VAZÃO, TIPO INSERÇÃO, NÃO INTRUSIVO, INCLUSIVE A REALIZAÇÃO DE PITOMETRIA</v>
      </c>
      <c r="E203" s="139" t="s">
        <v>5</v>
      </c>
      <c r="F203" s="247">
        <v>2</v>
      </c>
      <c r="G203" s="141"/>
      <c r="H203" s="140">
        <f>G203*(1+$I$9)</f>
        <v>0</v>
      </c>
      <c r="I203" s="141">
        <f t="shared" ref="I203" si="39">TRUNC(F203*H203,2)</f>
        <v>0</v>
      </c>
    </row>
    <row r="204" spans="1:9" s="264" customFormat="1">
      <c r="A204" s="284" t="s">
        <v>68</v>
      </c>
      <c r="B204" s="451" t="s">
        <v>493</v>
      </c>
      <c r="C204" s="452"/>
      <c r="D204" s="452"/>
      <c r="E204" s="452"/>
      <c r="F204" s="452"/>
      <c r="G204" s="452"/>
      <c r="H204" s="452"/>
      <c r="I204" s="453"/>
    </row>
    <row r="205" spans="1:9" s="135" customFormat="1" ht="45">
      <c r="A205" s="136" t="s">
        <v>496</v>
      </c>
      <c r="B205" s="153" t="str">
        <f>Composições!$A$10</f>
        <v>COMP. 01</v>
      </c>
      <c r="C205" s="137" t="s">
        <v>497</v>
      </c>
      <c r="D205" s="138" t="str">
        <f>Composições!$A$9</f>
        <v>CAIXA PARA PROTEÇÃO PARA MACROMEDIDOR DE VAZÃO TIPO INSERÇÃO - 1,60 X 1,60 M - LOCALIZADOS EM ÁREA INTERNA</v>
      </c>
      <c r="E205" s="139" t="s">
        <v>5</v>
      </c>
      <c r="F205" s="247">
        <v>2</v>
      </c>
      <c r="G205" s="141"/>
      <c r="H205" s="140">
        <f>G205*(1+$I$9)</f>
        <v>0</v>
      </c>
      <c r="I205" s="141">
        <f t="shared" ref="I205" si="40">TRUNC(F205*H205,2)</f>
        <v>0</v>
      </c>
    </row>
    <row r="206" spans="1:9" s="264" customFormat="1" ht="12.75" customHeight="1">
      <c r="A206" s="442" t="s">
        <v>500</v>
      </c>
      <c r="B206" s="443"/>
      <c r="C206" s="443"/>
      <c r="D206" s="443"/>
      <c r="E206" s="443"/>
      <c r="F206" s="443"/>
      <c r="G206" s="443"/>
      <c r="H206" s="444"/>
      <c r="I206" s="265">
        <f>SUM(I195:I205)</f>
        <v>0</v>
      </c>
    </row>
    <row r="207" spans="1:9" ht="18" customHeight="1">
      <c r="A207" s="423" t="s">
        <v>526</v>
      </c>
      <c r="B207" s="424"/>
      <c r="C207" s="424"/>
      <c r="D207" s="424"/>
      <c r="E207" s="424"/>
      <c r="F207" s="424"/>
      <c r="G207" s="424"/>
      <c r="H207" s="425"/>
      <c r="I207" s="257">
        <f>I206+I193</f>
        <v>0</v>
      </c>
    </row>
    <row r="208" spans="1:9" s="135" customFormat="1" ht="16.5" customHeight="1">
      <c r="A208" s="445" t="s">
        <v>527</v>
      </c>
      <c r="B208" s="446"/>
      <c r="C208" s="446"/>
      <c r="D208" s="446"/>
      <c r="E208" s="446"/>
      <c r="F208" s="446"/>
      <c r="G208" s="446"/>
      <c r="H208" s="446"/>
      <c r="I208" s="447"/>
    </row>
    <row r="209" spans="1:9" s="134" customFormat="1" ht="33.75">
      <c r="A209" s="128" t="s">
        <v>1</v>
      </c>
      <c r="B209" s="128" t="s">
        <v>3</v>
      </c>
      <c r="C209" s="128" t="s">
        <v>15</v>
      </c>
      <c r="D209" s="128" t="s">
        <v>2</v>
      </c>
      <c r="E209" s="128" t="s">
        <v>316</v>
      </c>
      <c r="F209" s="185" t="s">
        <v>158</v>
      </c>
      <c r="G209" s="251" t="s">
        <v>159</v>
      </c>
      <c r="H209" s="251" t="s">
        <v>160</v>
      </c>
      <c r="I209" s="250" t="s">
        <v>161</v>
      </c>
    </row>
    <row r="210" spans="1:9" s="264" customFormat="1">
      <c r="A210" s="262">
        <v>1</v>
      </c>
      <c r="B210" s="448" t="s">
        <v>246</v>
      </c>
      <c r="C210" s="449"/>
      <c r="D210" s="449"/>
      <c r="E210" s="449"/>
      <c r="F210" s="449"/>
      <c r="G210" s="449"/>
      <c r="H210" s="449"/>
      <c r="I210" s="450"/>
    </row>
    <row r="211" spans="1:9" s="264" customFormat="1">
      <c r="A211" s="284" t="s">
        <v>4</v>
      </c>
      <c r="B211" s="451" t="s">
        <v>247</v>
      </c>
      <c r="C211" s="452"/>
      <c r="D211" s="452"/>
      <c r="E211" s="452"/>
      <c r="F211" s="452"/>
      <c r="G211" s="452"/>
      <c r="H211" s="452"/>
      <c r="I211" s="453"/>
    </row>
    <row r="212" spans="1:9" s="264" customFormat="1" ht="33.75">
      <c r="A212" s="215" t="s">
        <v>162</v>
      </c>
      <c r="B212" s="215">
        <v>70030060</v>
      </c>
      <c r="C212" s="215" t="s">
        <v>142</v>
      </c>
      <c r="D212" s="219" t="s">
        <v>249</v>
      </c>
      <c r="E212" s="215" t="s">
        <v>287</v>
      </c>
      <c r="F212" s="254">
        <f>2.9*2.9*2.6</f>
        <v>21.866</v>
      </c>
      <c r="G212" s="217"/>
      <c r="H212" s="140">
        <f>G212*(1+$I$9)</f>
        <v>0</v>
      </c>
      <c r="I212" s="216">
        <f>ROUND((F212*H212),2)</f>
        <v>0</v>
      </c>
    </row>
    <row r="213" spans="1:9" s="264" customFormat="1">
      <c r="A213" s="284" t="s">
        <v>123</v>
      </c>
      <c r="B213" s="451" t="s">
        <v>250</v>
      </c>
      <c r="C213" s="452"/>
      <c r="D213" s="452"/>
      <c r="E213" s="452"/>
      <c r="F213" s="452"/>
      <c r="G213" s="452"/>
      <c r="H213" s="452"/>
      <c r="I213" s="453"/>
    </row>
    <row r="214" spans="1:9" s="264" customFormat="1" ht="45">
      <c r="A214" s="215" t="s">
        <v>180</v>
      </c>
      <c r="B214" s="215">
        <v>70030020</v>
      </c>
      <c r="C214" s="215" t="s">
        <v>142</v>
      </c>
      <c r="D214" s="219" t="s">
        <v>252</v>
      </c>
      <c r="E214" s="215" t="s">
        <v>287</v>
      </c>
      <c r="F214" s="254">
        <f>F212-(1.9*1.9*2.6)</f>
        <v>12.48</v>
      </c>
      <c r="G214" s="217"/>
      <c r="H214" s="140">
        <f>G214*(1+$I$9)</f>
        <v>0</v>
      </c>
      <c r="I214" s="216">
        <f>ROUND((F214*H214),2)</f>
        <v>0</v>
      </c>
    </row>
    <row r="215" spans="1:9" s="264" customFormat="1" ht="12.75" customHeight="1">
      <c r="A215" s="442" t="str">
        <f>CONCATENATE("SUBTOTAL ",A210)</f>
        <v>SUBTOTAL 1</v>
      </c>
      <c r="B215" s="443"/>
      <c r="C215" s="443"/>
      <c r="D215" s="443"/>
      <c r="E215" s="443"/>
      <c r="F215" s="443"/>
      <c r="G215" s="443"/>
      <c r="H215" s="444"/>
      <c r="I215" s="265">
        <f>SUM(I212:I214)</f>
        <v>0</v>
      </c>
    </row>
    <row r="216" spans="1:9" s="264" customFormat="1">
      <c r="A216" s="262">
        <v>2</v>
      </c>
      <c r="B216" s="448" t="s">
        <v>490</v>
      </c>
      <c r="C216" s="449"/>
      <c r="D216" s="449"/>
      <c r="E216" s="449"/>
      <c r="F216" s="449"/>
      <c r="G216" s="449"/>
      <c r="H216" s="449"/>
      <c r="I216" s="450"/>
    </row>
    <row r="217" spans="1:9" s="322" customFormat="1">
      <c r="A217" s="321" t="s">
        <v>8</v>
      </c>
      <c r="B217" s="454" t="s">
        <v>491</v>
      </c>
      <c r="C217" s="455"/>
      <c r="D217" s="455"/>
      <c r="E217" s="455"/>
      <c r="F217" s="455"/>
      <c r="G217" s="455"/>
      <c r="H217" s="455"/>
      <c r="I217" s="456"/>
    </row>
    <row r="218" spans="1:9" s="135" customFormat="1" ht="22.5">
      <c r="A218" s="136" t="s">
        <v>248</v>
      </c>
      <c r="B218" s="323" t="s">
        <v>310</v>
      </c>
      <c r="C218" s="137" t="s">
        <v>142</v>
      </c>
      <c r="D218" s="184" t="s">
        <v>200</v>
      </c>
      <c r="E218" s="139" t="s">
        <v>5</v>
      </c>
      <c r="F218" s="232">
        <v>2</v>
      </c>
      <c r="G218" s="231"/>
      <c r="H218" s="140">
        <f t="shared" ref="H218:H221" si="41">G218*(1+$I$9)</f>
        <v>0</v>
      </c>
      <c r="I218" s="141">
        <f t="shared" ref="I218:I221" si="42">TRUNC(F218*H218,2)</f>
        <v>0</v>
      </c>
    </row>
    <row r="219" spans="1:9" s="135" customFormat="1" ht="22.5">
      <c r="A219" s="136" t="s">
        <v>494</v>
      </c>
      <c r="B219" s="238" t="s">
        <v>310</v>
      </c>
      <c r="C219" s="137" t="s">
        <v>142</v>
      </c>
      <c r="D219" s="184" t="s">
        <v>201</v>
      </c>
      <c r="E219" s="139" t="s">
        <v>5</v>
      </c>
      <c r="F219" s="232">
        <v>1</v>
      </c>
      <c r="G219" s="140"/>
      <c r="H219" s="140">
        <f t="shared" si="41"/>
        <v>0</v>
      </c>
      <c r="I219" s="141">
        <f t="shared" si="42"/>
        <v>0</v>
      </c>
    </row>
    <row r="220" spans="1:9" s="135" customFormat="1">
      <c r="A220" s="136" t="s">
        <v>495</v>
      </c>
      <c r="B220" s="238" t="s">
        <v>145</v>
      </c>
      <c r="C220" s="152" t="s">
        <v>236</v>
      </c>
      <c r="D220" s="184" t="s">
        <v>131</v>
      </c>
      <c r="E220" s="139" t="s">
        <v>5</v>
      </c>
      <c r="F220" s="232">
        <v>3</v>
      </c>
      <c r="G220" s="141"/>
      <c r="H220" s="140">
        <f t="shared" si="41"/>
        <v>0</v>
      </c>
      <c r="I220" s="141">
        <f t="shared" si="42"/>
        <v>0</v>
      </c>
    </row>
    <row r="221" spans="1:9" s="135" customFormat="1" ht="22.5">
      <c r="A221" s="136" t="s">
        <v>502</v>
      </c>
      <c r="B221" s="153" t="s">
        <v>145</v>
      </c>
      <c r="C221" s="152" t="s">
        <v>236</v>
      </c>
      <c r="D221" s="162" t="s">
        <v>311</v>
      </c>
      <c r="E221" s="139" t="s">
        <v>5</v>
      </c>
      <c r="F221" s="247">
        <v>3</v>
      </c>
      <c r="G221" s="141"/>
      <c r="H221" s="140">
        <f t="shared" si="41"/>
        <v>0</v>
      </c>
      <c r="I221" s="141">
        <f t="shared" si="42"/>
        <v>0</v>
      </c>
    </row>
    <row r="222" spans="1:9" s="264" customFormat="1">
      <c r="A222" s="284" t="s">
        <v>9</v>
      </c>
      <c r="B222" s="451" t="s">
        <v>492</v>
      </c>
      <c r="C222" s="452"/>
      <c r="D222" s="452"/>
      <c r="E222" s="452"/>
      <c r="F222" s="452"/>
      <c r="G222" s="452"/>
      <c r="H222" s="452"/>
      <c r="I222" s="453"/>
    </row>
    <row r="223" spans="1:9" s="135" customFormat="1" ht="45">
      <c r="A223" s="136" t="s">
        <v>251</v>
      </c>
      <c r="B223" s="153" t="str">
        <f>Composições!$A$52</f>
        <v>COMP. 05</v>
      </c>
      <c r="C223" s="137" t="s">
        <v>497</v>
      </c>
      <c r="D223" s="138" t="str">
        <f>Composições!$A$51</f>
        <v>INSTALAÇÃO DE MACROMEDIDOR DE VAZÃO, TIPO INSERÇÃO, NÃO INTRUSIVO, INCLUSIVE A REALIZAÇÃO DE PITOMETRIA</v>
      </c>
      <c r="E223" s="139" t="s">
        <v>5</v>
      </c>
      <c r="F223" s="247">
        <v>3</v>
      </c>
      <c r="G223" s="141"/>
      <c r="H223" s="140">
        <f>G223*(1+$I$9)</f>
        <v>0</v>
      </c>
      <c r="I223" s="141">
        <f t="shared" ref="I223" si="43">TRUNC(F223*H223,2)</f>
        <v>0</v>
      </c>
    </row>
    <row r="224" spans="1:9" s="264" customFormat="1">
      <c r="A224" s="284" t="s">
        <v>68</v>
      </c>
      <c r="B224" s="451" t="s">
        <v>493</v>
      </c>
      <c r="C224" s="452"/>
      <c r="D224" s="452"/>
      <c r="E224" s="452"/>
      <c r="F224" s="452"/>
      <c r="G224" s="452"/>
      <c r="H224" s="452"/>
      <c r="I224" s="453"/>
    </row>
    <row r="225" spans="1:9" s="135" customFormat="1" ht="45">
      <c r="A225" s="136" t="s">
        <v>496</v>
      </c>
      <c r="B225" s="153" t="str">
        <f>Composições!$A$10</f>
        <v>COMP. 01</v>
      </c>
      <c r="C225" s="137" t="s">
        <v>497</v>
      </c>
      <c r="D225" s="138" t="str">
        <f>Composições!$A$9</f>
        <v>CAIXA PARA PROTEÇÃO PARA MACROMEDIDOR DE VAZÃO TIPO INSERÇÃO - 1,60 X 1,60 M - LOCALIZADOS EM ÁREA INTERNA</v>
      </c>
      <c r="E225" s="139" t="s">
        <v>5</v>
      </c>
      <c r="F225" s="247">
        <v>1</v>
      </c>
      <c r="G225" s="141"/>
      <c r="H225" s="140">
        <f>G225*(1+$I$9)</f>
        <v>0</v>
      </c>
      <c r="I225" s="141">
        <f>TRUNC(F225*H225,2)</f>
        <v>0</v>
      </c>
    </row>
    <row r="226" spans="1:9" s="135" customFormat="1" ht="45">
      <c r="A226" s="136" t="s">
        <v>520</v>
      </c>
      <c r="B226" s="153" t="str">
        <f>Composições!A32</f>
        <v>COMP. 03</v>
      </c>
      <c r="C226" s="137" t="s">
        <v>497</v>
      </c>
      <c r="D226" s="138" t="str">
        <f>Composições!A31</f>
        <v>CAIXA PARA PROTEÇÃO PARA MACROMEDIDOR DE VAZÃO TIPO INSERÇÃO - 4,00 X 3,00 M - LOCALIZADOS EM ÁREA INTERNA</v>
      </c>
      <c r="E226" s="139" t="s">
        <v>5</v>
      </c>
      <c r="F226" s="247">
        <v>1</v>
      </c>
      <c r="G226" s="141"/>
      <c r="H226" s="140">
        <f>G226*(1+$I$9)</f>
        <v>0</v>
      </c>
      <c r="I226" s="141">
        <f t="shared" ref="I226" si="44">TRUNC(F226*H226,2)</f>
        <v>0</v>
      </c>
    </row>
    <row r="227" spans="1:9" s="264" customFormat="1" ht="12.75" customHeight="1">
      <c r="A227" s="442" t="s">
        <v>500</v>
      </c>
      <c r="B227" s="443"/>
      <c r="C227" s="443"/>
      <c r="D227" s="443"/>
      <c r="E227" s="443"/>
      <c r="F227" s="443"/>
      <c r="G227" s="443"/>
      <c r="H227" s="444"/>
      <c r="I227" s="265">
        <f>SUM(I217:I226)</f>
        <v>0</v>
      </c>
    </row>
    <row r="228" spans="1:9" ht="18" customHeight="1">
      <c r="A228" s="423" t="s">
        <v>528</v>
      </c>
      <c r="B228" s="424"/>
      <c r="C228" s="424"/>
      <c r="D228" s="424"/>
      <c r="E228" s="424"/>
      <c r="F228" s="424"/>
      <c r="G228" s="424"/>
      <c r="H228" s="425"/>
      <c r="I228" s="257">
        <f>I227+I215</f>
        <v>0</v>
      </c>
    </row>
    <row r="229" spans="1:9" s="135" customFormat="1" ht="18.75" customHeight="1">
      <c r="A229" s="439" t="s">
        <v>218</v>
      </c>
      <c r="B229" s="440"/>
      <c r="C229" s="440"/>
      <c r="D229" s="440"/>
      <c r="E229" s="440"/>
      <c r="F229" s="440"/>
      <c r="G229" s="440"/>
      <c r="H229" s="441"/>
      <c r="I229" s="320">
        <f>I228+I207+I185+I166+I155+I133+I114+I95+I60+I29</f>
        <v>0</v>
      </c>
    </row>
    <row r="230" spans="1:9" s="135" customFormat="1" ht="16.5" customHeight="1">
      <c r="A230" s="445" t="s">
        <v>529</v>
      </c>
      <c r="B230" s="446"/>
      <c r="C230" s="446"/>
      <c r="D230" s="446"/>
      <c r="E230" s="446"/>
      <c r="F230" s="446"/>
      <c r="G230" s="446"/>
      <c r="H230" s="446"/>
      <c r="I230" s="447"/>
    </row>
    <row r="231" spans="1:9" s="135" customFormat="1" ht="16.5" customHeight="1">
      <c r="A231" s="445" t="s">
        <v>531</v>
      </c>
      <c r="B231" s="446"/>
      <c r="C231" s="446"/>
      <c r="D231" s="446"/>
      <c r="E231" s="446"/>
      <c r="F231" s="446"/>
      <c r="G231" s="446"/>
      <c r="H231" s="446"/>
      <c r="I231" s="447"/>
    </row>
    <row r="232" spans="1:9" s="134" customFormat="1" ht="33.75">
      <c r="A232" s="128" t="s">
        <v>1</v>
      </c>
      <c r="B232" s="128" t="s">
        <v>3</v>
      </c>
      <c r="C232" s="128" t="s">
        <v>15</v>
      </c>
      <c r="D232" s="128" t="s">
        <v>2</v>
      </c>
      <c r="E232" s="128" t="s">
        <v>316</v>
      </c>
      <c r="F232" s="182" t="s">
        <v>158</v>
      </c>
      <c r="G232" s="236" t="s">
        <v>159</v>
      </c>
      <c r="H232" s="251" t="s">
        <v>160</v>
      </c>
      <c r="I232" s="250" t="s">
        <v>161</v>
      </c>
    </row>
    <row r="233" spans="1:9" s="264" customFormat="1">
      <c r="A233" s="262">
        <v>1</v>
      </c>
      <c r="B233" s="448" t="s">
        <v>490</v>
      </c>
      <c r="C233" s="449"/>
      <c r="D233" s="449"/>
      <c r="E233" s="449"/>
      <c r="F233" s="449"/>
      <c r="G233" s="449"/>
      <c r="H233" s="449"/>
      <c r="I233" s="450"/>
    </row>
    <row r="234" spans="1:9" s="322" customFormat="1">
      <c r="A234" s="321" t="s">
        <v>4</v>
      </c>
      <c r="B234" s="454" t="s">
        <v>491</v>
      </c>
      <c r="C234" s="455"/>
      <c r="D234" s="455"/>
      <c r="E234" s="455"/>
      <c r="F234" s="455"/>
      <c r="G234" s="455"/>
      <c r="H234" s="455"/>
      <c r="I234" s="456"/>
    </row>
    <row r="235" spans="1:9" s="135" customFormat="1" ht="22.5">
      <c r="A235" s="136" t="s">
        <v>162</v>
      </c>
      <c r="B235" s="238" t="s">
        <v>310</v>
      </c>
      <c r="C235" s="137" t="s">
        <v>142</v>
      </c>
      <c r="D235" s="184" t="s">
        <v>201</v>
      </c>
      <c r="E235" s="139" t="s">
        <v>5</v>
      </c>
      <c r="F235" s="232">
        <v>4</v>
      </c>
      <c r="G235" s="140"/>
      <c r="H235" s="140">
        <f t="shared" ref="H235:H237" si="45">G235*(1+$I$9)</f>
        <v>0</v>
      </c>
      <c r="I235" s="141">
        <f>TRUNC(F235*G235,2)</f>
        <v>0</v>
      </c>
    </row>
    <row r="236" spans="1:9" s="135" customFormat="1">
      <c r="A236" s="136" t="s">
        <v>165</v>
      </c>
      <c r="B236" s="238" t="s">
        <v>145</v>
      </c>
      <c r="C236" s="152" t="s">
        <v>236</v>
      </c>
      <c r="D236" s="184" t="s">
        <v>131</v>
      </c>
      <c r="E236" s="139" t="s">
        <v>5</v>
      </c>
      <c r="F236" s="232">
        <v>4</v>
      </c>
      <c r="G236" s="141"/>
      <c r="H236" s="140">
        <f t="shared" si="45"/>
        <v>0</v>
      </c>
      <c r="I236" s="141">
        <f>TRUNC(F236*G236,2)</f>
        <v>0</v>
      </c>
    </row>
    <row r="237" spans="1:9" s="135" customFormat="1" ht="45">
      <c r="A237" s="136" t="s">
        <v>170</v>
      </c>
      <c r="B237" s="238" t="s">
        <v>196</v>
      </c>
      <c r="C237" s="152" t="s">
        <v>142</v>
      </c>
      <c r="D237" s="179" t="s">
        <v>313</v>
      </c>
      <c r="E237" s="139" t="s">
        <v>5</v>
      </c>
      <c r="F237" s="232">
        <v>4</v>
      </c>
      <c r="G237" s="141"/>
      <c r="H237" s="140">
        <f t="shared" si="45"/>
        <v>0</v>
      </c>
      <c r="I237" s="141">
        <f t="shared" ref="I237" si="46">TRUNC(F237*G237,2)</f>
        <v>0</v>
      </c>
    </row>
    <row r="238" spans="1:9" s="264" customFormat="1">
      <c r="A238" s="284" t="s">
        <v>123</v>
      </c>
      <c r="B238" s="451" t="s">
        <v>492</v>
      </c>
      <c r="C238" s="452"/>
      <c r="D238" s="452"/>
      <c r="E238" s="452"/>
      <c r="F238" s="452"/>
      <c r="G238" s="452"/>
      <c r="H238" s="452"/>
      <c r="I238" s="453"/>
    </row>
    <row r="239" spans="1:9" s="324" customFormat="1" ht="45">
      <c r="A239" s="223" t="s">
        <v>180</v>
      </c>
      <c r="B239" s="246" t="str">
        <f>Composições!$A$52</f>
        <v>COMP. 05</v>
      </c>
      <c r="C239" s="152" t="s">
        <v>497</v>
      </c>
      <c r="D239" s="162" t="str">
        <f>Composições!$A$51</f>
        <v>INSTALAÇÃO DE MACROMEDIDOR DE VAZÃO, TIPO INSERÇÃO, NÃO INTRUSIVO, INCLUSIVE A REALIZAÇÃO DE PITOMETRIA</v>
      </c>
      <c r="E239" s="223" t="s">
        <v>5</v>
      </c>
      <c r="F239" s="325">
        <v>4</v>
      </c>
      <c r="G239" s="225"/>
      <c r="H239" s="140">
        <f>G239*(1+$I$9)</f>
        <v>0</v>
      </c>
      <c r="I239" s="225">
        <f t="shared" ref="I239" si="47">TRUNC(F239*H239,2)</f>
        <v>0</v>
      </c>
    </row>
    <row r="240" spans="1:9" s="135" customFormat="1">
      <c r="A240" s="442" t="s">
        <v>444</v>
      </c>
      <c r="B240" s="443"/>
      <c r="C240" s="443"/>
      <c r="D240" s="443"/>
      <c r="E240" s="443"/>
      <c r="F240" s="443"/>
      <c r="G240" s="443"/>
      <c r="H240" s="444"/>
      <c r="I240" s="183">
        <f>SUM(I235:I239)</f>
        <v>0</v>
      </c>
    </row>
    <row r="241" spans="1:9" ht="18" customHeight="1">
      <c r="A241" s="423" t="s">
        <v>530</v>
      </c>
      <c r="B241" s="424"/>
      <c r="C241" s="424"/>
      <c r="D241" s="424"/>
      <c r="E241" s="424"/>
      <c r="F241" s="424"/>
      <c r="G241" s="424"/>
      <c r="H241" s="425"/>
      <c r="I241" s="257">
        <f>I240</f>
        <v>0</v>
      </c>
    </row>
    <row r="242" spans="1:9" s="324" customFormat="1" ht="16.5" customHeight="1">
      <c r="A242" s="445" t="s">
        <v>532</v>
      </c>
      <c r="B242" s="446"/>
      <c r="C242" s="446"/>
      <c r="D242" s="446"/>
      <c r="E242" s="446"/>
      <c r="F242" s="446"/>
      <c r="G242" s="446"/>
      <c r="H242" s="446"/>
      <c r="I242" s="447"/>
    </row>
    <row r="243" spans="1:9" s="134" customFormat="1" ht="33.75">
      <c r="A243" s="128" t="s">
        <v>1</v>
      </c>
      <c r="B243" s="128" t="s">
        <v>3</v>
      </c>
      <c r="C243" s="128" t="s">
        <v>15</v>
      </c>
      <c r="D243" s="128" t="s">
        <v>2</v>
      </c>
      <c r="E243" s="128" t="s">
        <v>316</v>
      </c>
      <c r="F243" s="182" t="s">
        <v>158</v>
      </c>
      <c r="G243" s="236" t="s">
        <v>159</v>
      </c>
      <c r="H243" s="251" t="s">
        <v>160</v>
      </c>
      <c r="I243" s="250" t="s">
        <v>161</v>
      </c>
    </row>
    <row r="244" spans="1:9" s="264" customFormat="1">
      <c r="A244" s="262">
        <v>1</v>
      </c>
      <c r="B244" s="448" t="s">
        <v>490</v>
      </c>
      <c r="C244" s="449"/>
      <c r="D244" s="449"/>
      <c r="E244" s="449"/>
      <c r="F244" s="449"/>
      <c r="G244" s="449"/>
      <c r="H244" s="449"/>
      <c r="I244" s="450"/>
    </row>
    <row r="245" spans="1:9" s="322" customFormat="1">
      <c r="A245" s="321" t="s">
        <v>4</v>
      </c>
      <c r="B245" s="454" t="s">
        <v>491</v>
      </c>
      <c r="C245" s="455"/>
      <c r="D245" s="455"/>
      <c r="E245" s="455"/>
      <c r="F245" s="455"/>
      <c r="G245" s="455"/>
      <c r="H245" s="455"/>
      <c r="I245" s="456"/>
    </row>
    <row r="246" spans="1:9" s="135" customFormat="1" ht="22.5">
      <c r="A246" s="136" t="s">
        <v>162</v>
      </c>
      <c r="B246" s="238" t="s">
        <v>197</v>
      </c>
      <c r="C246" s="137" t="s">
        <v>142</v>
      </c>
      <c r="D246" s="179" t="s">
        <v>312</v>
      </c>
      <c r="E246" s="139" t="s">
        <v>5</v>
      </c>
      <c r="F246" s="232">
        <v>12</v>
      </c>
      <c r="G246" s="141"/>
      <c r="H246" s="140">
        <f t="shared" ref="H246:H247" si="48">G246*(1+$I$9)</f>
        <v>0</v>
      </c>
      <c r="I246" s="141">
        <f>TRUNC(F246*H246,2)</f>
        <v>0</v>
      </c>
    </row>
    <row r="247" spans="1:9" s="135" customFormat="1" ht="22.5">
      <c r="A247" s="136" t="s">
        <v>165</v>
      </c>
      <c r="B247" s="238" t="s">
        <v>538</v>
      </c>
      <c r="C247" s="137" t="s">
        <v>142</v>
      </c>
      <c r="D247" s="179" t="s">
        <v>539</v>
      </c>
      <c r="E247" s="139" t="s">
        <v>537</v>
      </c>
      <c r="F247" s="232">
        <v>12</v>
      </c>
      <c r="G247" s="141"/>
      <c r="H247" s="140">
        <f t="shared" si="48"/>
        <v>0</v>
      </c>
      <c r="I247" s="141">
        <f>TRUNC(F247*H247,2)</f>
        <v>0</v>
      </c>
    </row>
    <row r="248" spans="1:9" s="264" customFormat="1">
      <c r="A248" s="284" t="s">
        <v>123</v>
      </c>
      <c r="B248" s="451" t="s">
        <v>492</v>
      </c>
      <c r="C248" s="452"/>
      <c r="D248" s="452"/>
      <c r="E248" s="452"/>
      <c r="F248" s="452"/>
      <c r="G248" s="452"/>
      <c r="H248" s="452"/>
      <c r="I248" s="453"/>
    </row>
    <row r="249" spans="1:9" s="264" customFormat="1" ht="22.5">
      <c r="A249" s="229" t="s">
        <v>180</v>
      </c>
      <c r="B249" s="246">
        <v>70140057</v>
      </c>
      <c r="C249" s="137" t="s">
        <v>142</v>
      </c>
      <c r="D249" s="271" t="s">
        <v>536</v>
      </c>
      <c r="E249" s="267" t="s">
        <v>5</v>
      </c>
      <c r="F249" s="268">
        <v>12</v>
      </c>
      <c r="G249" s="269"/>
      <c r="H249" s="140">
        <f t="shared" ref="H249:H250" si="49">G249*(1+$I$9)</f>
        <v>0</v>
      </c>
      <c r="I249" s="216">
        <f t="shared" ref="I249" si="50">ROUND((F249*H249),2)</f>
        <v>0</v>
      </c>
    </row>
    <row r="250" spans="1:9" s="264" customFormat="1" ht="22.5">
      <c r="A250" s="229" t="s">
        <v>219</v>
      </c>
      <c r="B250" s="246">
        <v>70140023</v>
      </c>
      <c r="C250" s="137" t="s">
        <v>142</v>
      </c>
      <c r="D250" s="271" t="s">
        <v>443</v>
      </c>
      <c r="E250" s="267" t="s">
        <v>540</v>
      </c>
      <c r="F250" s="268">
        <f>32*F247</f>
        <v>384</v>
      </c>
      <c r="G250" s="269"/>
      <c r="H250" s="140">
        <f t="shared" si="49"/>
        <v>0</v>
      </c>
      <c r="I250" s="216">
        <f t="shared" ref="I250" si="51">ROUND((F250*H250),2)</f>
        <v>0</v>
      </c>
    </row>
    <row r="251" spans="1:9" s="135" customFormat="1">
      <c r="A251" s="442" t="s">
        <v>444</v>
      </c>
      <c r="B251" s="443"/>
      <c r="C251" s="443"/>
      <c r="D251" s="443"/>
      <c r="E251" s="443"/>
      <c r="F251" s="443"/>
      <c r="G251" s="443"/>
      <c r="H251" s="444"/>
      <c r="I251" s="183">
        <f>SUM(I244:I250)</f>
        <v>0</v>
      </c>
    </row>
    <row r="252" spans="1:9" ht="18" customHeight="1">
      <c r="A252" s="423" t="s">
        <v>533</v>
      </c>
      <c r="B252" s="424"/>
      <c r="C252" s="424"/>
      <c r="D252" s="424"/>
      <c r="E252" s="424"/>
      <c r="F252" s="424"/>
      <c r="G252" s="424"/>
      <c r="H252" s="425"/>
      <c r="I252" s="257">
        <f>I251</f>
        <v>0</v>
      </c>
    </row>
    <row r="253" spans="1:9" s="135" customFormat="1" ht="18.75" customHeight="1">
      <c r="A253" s="439" t="s">
        <v>529</v>
      </c>
      <c r="B253" s="440"/>
      <c r="C253" s="440"/>
      <c r="D253" s="440"/>
      <c r="E253" s="440"/>
      <c r="F253" s="440"/>
      <c r="G253" s="440"/>
      <c r="H253" s="441"/>
      <c r="I253" s="320">
        <f>I252+I241</f>
        <v>0</v>
      </c>
    </row>
    <row r="254" spans="1:9" ht="18" customHeight="1">
      <c r="A254" s="423" t="s">
        <v>315</v>
      </c>
      <c r="B254" s="424"/>
      <c r="C254" s="424"/>
      <c r="D254" s="424"/>
      <c r="E254" s="424"/>
      <c r="F254" s="424"/>
      <c r="G254" s="424"/>
      <c r="H254" s="425"/>
      <c r="I254" s="257">
        <f>I253+I229</f>
        <v>0</v>
      </c>
    </row>
    <row r="260" spans="9:9">
      <c r="I260" s="148"/>
    </row>
    <row r="65546" spans="1:9" s="149" customFormat="1">
      <c r="A65546" s="143"/>
      <c r="B65546" s="144"/>
      <c r="C65546" s="180"/>
      <c r="D65546" s="144"/>
      <c r="E65546" s="145"/>
      <c r="F65546" s="146"/>
      <c r="G65546" s="142"/>
      <c r="H65546" s="142"/>
      <c r="I65546" s="147"/>
    </row>
    <row r="65547" spans="1:9" s="149" customFormat="1">
      <c r="A65547" s="143"/>
      <c r="B65547" s="144"/>
      <c r="C65547" s="180"/>
      <c r="D65547" s="144"/>
      <c r="E65547" s="145"/>
      <c r="F65547" s="146"/>
      <c r="G65547" s="142"/>
      <c r="H65547" s="142"/>
      <c r="I65547" s="147"/>
    </row>
    <row r="65548" spans="1:9" s="149" customFormat="1">
      <c r="A65548" s="143"/>
      <c r="B65548" s="144"/>
      <c r="C65548" s="180"/>
      <c r="D65548" s="144"/>
      <c r="E65548" s="145"/>
      <c r="F65548" s="146"/>
      <c r="G65548" s="142"/>
      <c r="H65548" s="142"/>
      <c r="I65548" s="147"/>
    </row>
    <row r="65549" spans="1:9" s="149" customFormat="1">
      <c r="A65549" s="143"/>
      <c r="B65549" s="144"/>
      <c r="C65549" s="180"/>
      <c r="D65549" s="144"/>
      <c r="E65549" s="145"/>
      <c r="F65549" s="146"/>
      <c r="G65549" s="142"/>
      <c r="H65549" s="142"/>
      <c r="I65549" s="147"/>
    </row>
    <row r="65550" spans="1:9" s="149" customFormat="1">
      <c r="A65550" s="143"/>
      <c r="B65550" s="144"/>
      <c r="C65550" s="180"/>
      <c r="D65550" s="144"/>
      <c r="E65550" s="145"/>
      <c r="F65550" s="146"/>
      <c r="G65550" s="142"/>
      <c r="H65550" s="142"/>
      <c r="I65550" s="147"/>
    </row>
    <row r="65551" spans="1:9" s="149" customFormat="1">
      <c r="A65551" s="143"/>
      <c r="B65551" s="144"/>
      <c r="C65551" s="180"/>
      <c r="D65551" s="144"/>
      <c r="E65551" s="145"/>
      <c r="F65551" s="146"/>
      <c r="G65551" s="142"/>
      <c r="H65551" s="142"/>
      <c r="I65551" s="147"/>
    </row>
    <row r="65552" spans="1:9" s="149" customFormat="1">
      <c r="A65552" s="143"/>
      <c r="B65552" s="144"/>
      <c r="C65552" s="180"/>
      <c r="D65552" s="144"/>
      <c r="E65552" s="145"/>
      <c r="F65552" s="146"/>
      <c r="G65552" s="142"/>
      <c r="H65552" s="142"/>
      <c r="I65552" s="147"/>
    </row>
    <row r="65553" spans="1:9" s="149" customFormat="1">
      <c r="A65553" s="143"/>
      <c r="B65553" s="144"/>
      <c r="C65553" s="180"/>
      <c r="D65553" s="144"/>
      <c r="E65553" s="145"/>
      <c r="F65553" s="146"/>
      <c r="G65553" s="142"/>
      <c r="H65553" s="142"/>
      <c r="I65553" s="147"/>
    </row>
    <row r="65554" spans="1:9" s="149" customFormat="1">
      <c r="A65554" s="143"/>
      <c r="B65554" s="144"/>
      <c r="C65554" s="180"/>
      <c r="D65554" s="144"/>
      <c r="E65554" s="145"/>
      <c r="F65554" s="146"/>
      <c r="G65554" s="142"/>
      <c r="H65554" s="142"/>
      <c r="I65554" s="147"/>
    </row>
    <row r="65555" spans="1:9" s="149" customFormat="1">
      <c r="A65555" s="143"/>
      <c r="B65555" s="144"/>
      <c r="C65555" s="180"/>
      <c r="D65555" s="144"/>
      <c r="E65555" s="145"/>
      <c r="F65555" s="146"/>
      <c r="G65555" s="142"/>
      <c r="H65555" s="142"/>
      <c r="I65555" s="147"/>
    </row>
    <row r="65556" spans="1:9" s="149" customFormat="1">
      <c r="A65556" s="143"/>
      <c r="B65556" s="144"/>
      <c r="C65556" s="180"/>
      <c r="D65556" s="144"/>
      <c r="E65556" s="145"/>
      <c r="F65556" s="146"/>
      <c r="G65556" s="142"/>
      <c r="H65556" s="142"/>
      <c r="I65556" s="147"/>
    </row>
    <row r="65557" spans="1:9" s="149" customFormat="1">
      <c r="A65557" s="143"/>
      <c r="B65557" s="144"/>
      <c r="C65557" s="180"/>
      <c r="D65557" s="144"/>
      <c r="E65557" s="145"/>
      <c r="F65557" s="146"/>
      <c r="G65557" s="142"/>
      <c r="H65557" s="142"/>
      <c r="I65557" s="147"/>
    </row>
    <row r="65558" spans="1:9" s="149" customFormat="1">
      <c r="A65558" s="143"/>
      <c r="B65558" s="144"/>
      <c r="C65558" s="180"/>
      <c r="D65558" s="144"/>
      <c r="E65558" s="145"/>
      <c r="F65558" s="146"/>
      <c r="G65558" s="142"/>
      <c r="H65558" s="142"/>
      <c r="I65558" s="147"/>
    </row>
    <row r="65559" spans="1:9" s="149" customFormat="1">
      <c r="A65559" s="143"/>
      <c r="B65559" s="144"/>
      <c r="C65559" s="180"/>
      <c r="D65559" s="144"/>
      <c r="E65559" s="145"/>
      <c r="F65559" s="146"/>
      <c r="G65559" s="142"/>
      <c r="H65559" s="142"/>
      <c r="I65559" s="147"/>
    </row>
    <row r="65560" spans="1:9" s="149" customFormat="1">
      <c r="A65560" s="143"/>
      <c r="B65560" s="144"/>
      <c r="C65560" s="180"/>
      <c r="D65560" s="144"/>
      <c r="E65560" s="145"/>
      <c r="F65560" s="146"/>
      <c r="G65560" s="142"/>
      <c r="H65560" s="142"/>
      <c r="I65560" s="147"/>
    </row>
    <row r="65561" spans="1:9" s="149" customFormat="1">
      <c r="A65561" s="143"/>
      <c r="B65561" s="144"/>
      <c r="C65561" s="180"/>
      <c r="D65561" s="144"/>
      <c r="E65561" s="145"/>
      <c r="F65561" s="146"/>
      <c r="G65561" s="142"/>
      <c r="H65561" s="142"/>
      <c r="I65561" s="147"/>
    </row>
    <row r="65562" spans="1:9" s="149" customFormat="1">
      <c r="A65562" s="143"/>
      <c r="B65562" s="144"/>
      <c r="C65562" s="180"/>
      <c r="D65562" s="144"/>
      <c r="E65562" s="145"/>
      <c r="F65562" s="146"/>
      <c r="G65562" s="142"/>
      <c r="H65562" s="142"/>
      <c r="I65562" s="147"/>
    </row>
    <row r="65563" spans="1:9" s="149" customFormat="1">
      <c r="A65563" s="143"/>
      <c r="B65563" s="144"/>
      <c r="C65563" s="180"/>
      <c r="D65563" s="144"/>
      <c r="E65563" s="145"/>
      <c r="F65563" s="146"/>
      <c r="G65563" s="142"/>
      <c r="H65563" s="142"/>
      <c r="I65563" s="147"/>
    </row>
    <row r="65564" spans="1:9" s="149" customFormat="1">
      <c r="A65564" s="143"/>
      <c r="B65564" s="144"/>
      <c r="C65564" s="180"/>
      <c r="D65564" s="144"/>
      <c r="E65564" s="145"/>
      <c r="F65564" s="146"/>
      <c r="G65564" s="142"/>
      <c r="H65564" s="142"/>
      <c r="I65564" s="147"/>
    </row>
    <row r="65565" spans="1:9" s="149" customFormat="1">
      <c r="A65565" s="143"/>
      <c r="B65565" s="144"/>
      <c r="C65565" s="180"/>
      <c r="D65565" s="144"/>
      <c r="E65565" s="145"/>
      <c r="F65565" s="146"/>
      <c r="G65565" s="142"/>
      <c r="H65565" s="142"/>
      <c r="I65565" s="147"/>
    </row>
    <row r="65566" spans="1:9" s="149" customFormat="1">
      <c r="A65566" s="143"/>
      <c r="B65566" s="144"/>
      <c r="C65566" s="180"/>
      <c r="D65566" s="144"/>
      <c r="E65566" s="145"/>
      <c r="F65566" s="146"/>
      <c r="G65566" s="142"/>
      <c r="H65566" s="142"/>
      <c r="I65566" s="147"/>
    </row>
    <row r="65567" spans="1:9" s="149" customFormat="1">
      <c r="A65567" s="143"/>
      <c r="B65567" s="144"/>
      <c r="C65567" s="180"/>
      <c r="D65567" s="144"/>
      <c r="E65567" s="145"/>
      <c r="F65567" s="146"/>
      <c r="G65567" s="142"/>
      <c r="H65567" s="142"/>
      <c r="I65567" s="147"/>
    </row>
    <row r="65568" spans="1:9" s="149" customFormat="1">
      <c r="A65568" s="143"/>
      <c r="B65568" s="144"/>
      <c r="C65568" s="180"/>
      <c r="D65568" s="144"/>
      <c r="E65568" s="145"/>
      <c r="F65568" s="146"/>
      <c r="G65568" s="142"/>
      <c r="H65568" s="142"/>
      <c r="I65568" s="147"/>
    </row>
    <row r="65569" spans="1:9" s="149" customFormat="1">
      <c r="A65569" s="143"/>
      <c r="B65569" s="144"/>
      <c r="C65569" s="180"/>
      <c r="D65569" s="144"/>
      <c r="E65569" s="145"/>
      <c r="F65569" s="146"/>
      <c r="G65569" s="142"/>
      <c r="H65569" s="142"/>
      <c r="I65569" s="147"/>
    </row>
    <row r="65570" spans="1:9" s="149" customFormat="1">
      <c r="A65570" s="143"/>
      <c r="B65570" s="144"/>
      <c r="C65570" s="180"/>
      <c r="D65570" s="144"/>
      <c r="E65570" s="145"/>
      <c r="F65570" s="146"/>
      <c r="G65570" s="142"/>
      <c r="H65570" s="142"/>
      <c r="I65570" s="147"/>
    </row>
    <row r="65571" spans="1:9" s="149" customFormat="1">
      <c r="A65571" s="143"/>
      <c r="B65571" s="144"/>
      <c r="C65571" s="180"/>
      <c r="D65571" s="144"/>
      <c r="E65571" s="145"/>
      <c r="F65571" s="146"/>
      <c r="G65571" s="142"/>
      <c r="H65571" s="142"/>
      <c r="I65571" s="147"/>
    </row>
    <row r="65572" spans="1:9" s="149" customFormat="1">
      <c r="A65572" s="143"/>
      <c r="B65572" s="144"/>
      <c r="C65572" s="180"/>
      <c r="D65572" s="144"/>
      <c r="E65572" s="145"/>
      <c r="F65572" s="146"/>
      <c r="G65572" s="142"/>
      <c r="H65572" s="142"/>
      <c r="I65572" s="147"/>
    </row>
    <row r="65573" spans="1:9" s="149" customFormat="1">
      <c r="A65573" s="143"/>
      <c r="B65573" s="144"/>
      <c r="C65573" s="180"/>
      <c r="D65573" s="144"/>
      <c r="E65573" s="145"/>
      <c r="F65573" s="146"/>
      <c r="G65573" s="142"/>
      <c r="H65573" s="142"/>
      <c r="I65573" s="147"/>
    </row>
    <row r="65574" spans="1:9" s="149" customFormat="1">
      <c r="A65574" s="143"/>
      <c r="B65574" s="144"/>
      <c r="C65574" s="180"/>
      <c r="D65574" s="144"/>
      <c r="E65574" s="145"/>
      <c r="F65574" s="146"/>
      <c r="G65574" s="142"/>
      <c r="H65574" s="142"/>
      <c r="I65574" s="147"/>
    </row>
    <row r="65575" spans="1:9" s="149" customFormat="1">
      <c r="A65575" s="143"/>
      <c r="B65575" s="144"/>
      <c r="C65575" s="180"/>
      <c r="D65575" s="144"/>
      <c r="E65575" s="145"/>
      <c r="F65575" s="146"/>
      <c r="G65575" s="142"/>
      <c r="H65575" s="142"/>
      <c r="I65575" s="147"/>
    </row>
    <row r="65576" spans="1:9" s="149" customFormat="1">
      <c r="A65576" s="143"/>
      <c r="B65576" s="144"/>
      <c r="C65576" s="180"/>
      <c r="D65576" s="144"/>
      <c r="E65576" s="145"/>
      <c r="F65576" s="146"/>
      <c r="G65576" s="142"/>
      <c r="H65576" s="142"/>
      <c r="I65576" s="147"/>
    </row>
    <row r="65577" spans="1:9" s="149" customFormat="1">
      <c r="A65577" s="143"/>
      <c r="B65577" s="144"/>
      <c r="C65577" s="180"/>
      <c r="D65577" s="144"/>
      <c r="E65577" s="145"/>
      <c r="F65577" s="146"/>
      <c r="G65577" s="142"/>
      <c r="H65577" s="142"/>
      <c r="I65577" s="147"/>
    </row>
    <row r="65578" spans="1:9" s="149" customFormat="1">
      <c r="A65578" s="143"/>
      <c r="B65578" s="144"/>
      <c r="C65578" s="180"/>
      <c r="D65578" s="144"/>
      <c r="E65578" s="145"/>
      <c r="F65578" s="146"/>
      <c r="G65578" s="142"/>
      <c r="H65578" s="142"/>
      <c r="I65578" s="147"/>
    </row>
    <row r="65579" spans="1:9" s="149" customFormat="1">
      <c r="A65579" s="143"/>
      <c r="B65579" s="144"/>
      <c r="C65579" s="180"/>
      <c r="D65579" s="144"/>
      <c r="E65579" s="145"/>
      <c r="F65579" s="146"/>
      <c r="G65579" s="142"/>
      <c r="H65579" s="142"/>
      <c r="I65579" s="147"/>
    </row>
    <row r="65580" spans="1:9" s="149" customFormat="1">
      <c r="A65580" s="143"/>
      <c r="B65580" s="144"/>
      <c r="C65580" s="180"/>
      <c r="D65580" s="144"/>
      <c r="E65580" s="145"/>
      <c r="F65580" s="146"/>
      <c r="G65580" s="142"/>
      <c r="H65580" s="142"/>
      <c r="I65580" s="147"/>
    </row>
    <row r="65581" spans="1:9" s="149" customFormat="1">
      <c r="A65581" s="143"/>
      <c r="B65581" s="144"/>
      <c r="C65581" s="180"/>
      <c r="D65581" s="144"/>
      <c r="E65581" s="145"/>
      <c r="F65581" s="146"/>
      <c r="G65581" s="142"/>
      <c r="H65581" s="142"/>
      <c r="I65581" s="147"/>
    </row>
    <row r="65582" spans="1:9" s="149" customFormat="1">
      <c r="A65582" s="143"/>
      <c r="B65582" s="144"/>
      <c r="C65582" s="180"/>
      <c r="D65582" s="144"/>
      <c r="E65582" s="145"/>
      <c r="F65582" s="146"/>
      <c r="G65582" s="142"/>
      <c r="H65582" s="142"/>
      <c r="I65582" s="147"/>
    </row>
    <row r="65583" spans="1:9" s="149" customFormat="1">
      <c r="A65583" s="143"/>
      <c r="B65583" s="144"/>
      <c r="C65583" s="180"/>
      <c r="D65583" s="144"/>
      <c r="E65583" s="145"/>
      <c r="F65583" s="146"/>
      <c r="G65583" s="142"/>
      <c r="H65583" s="142"/>
      <c r="I65583" s="147"/>
    </row>
    <row r="65584" spans="1:9" s="149" customFormat="1">
      <c r="A65584" s="143"/>
      <c r="B65584" s="144"/>
      <c r="C65584" s="180"/>
      <c r="D65584" s="144"/>
      <c r="E65584" s="145"/>
      <c r="F65584" s="146"/>
      <c r="G65584" s="142"/>
      <c r="H65584" s="142"/>
      <c r="I65584" s="147"/>
    </row>
    <row r="65585" spans="1:9" s="149" customFormat="1">
      <c r="A65585" s="143"/>
      <c r="B65585" s="144"/>
      <c r="C65585" s="180"/>
      <c r="D65585" s="144"/>
      <c r="E65585" s="145"/>
      <c r="F65585" s="146"/>
      <c r="G65585" s="142"/>
      <c r="H65585" s="142"/>
      <c r="I65585" s="147"/>
    </row>
    <row r="65586" spans="1:9" s="149" customFormat="1">
      <c r="A65586" s="143"/>
      <c r="B65586" s="144"/>
      <c r="C65586" s="180"/>
      <c r="D65586" s="144"/>
      <c r="E65586" s="145"/>
      <c r="F65586" s="146"/>
      <c r="G65586" s="142"/>
      <c r="H65586" s="142"/>
      <c r="I65586" s="147"/>
    </row>
    <row r="65587" spans="1:9" s="149" customFormat="1">
      <c r="A65587" s="143"/>
      <c r="B65587" s="144"/>
      <c r="C65587" s="180"/>
      <c r="D65587" s="144"/>
      <c r="E65587" s="145"/>
      <c r="F65587" s="146"/>
      <c r="G65587" s="142"/>
      <c r="H65587" s="142"/>
      <c r="I65587" s="147"/>
    </row>
    <row r="65588" spans="1:9" s="149" customFormat="1">
      <c r="A65588" s="143"/>
      <c r="B65588" s="144"/>
      <c r="C65588" s="180"/>
      <c r="D65588" s="144"/>
      <c r="E65588" s="145"/>
      <c r="F65588" s="146"/>
      <c r="G65588" s="142"/>
      <c r="H65588" s="142"/>
      <c r="I65588" s="147"/>
    </row>
    <row r="65589" spans="1:9" s="149" customFormat="1">
      <c r="A65589" s="143"/>
      <c r="B65589" s="144"/>
      <c r="C65589" s="180"/>
      <c r="D65589" s="144"/>
      <c r="E65589" s="145"/>
      <c r="F65589" s="146"/>
      <c r="G65589" s="142"/>
      <c r="H65589" s="142"/>
      <c r="I65589" s="147"/>
    </row>
    <row r="65590" spans="1:9" s="149" customFormat="1">
      <c r="A65590" s="143"/>
      <c r="B65590" s="144"/>
      <c r="C65590" s="180"/>
      <c r="D65590" s="144"/>
      <c r="E65590" s="145"/>
      <c r="F65590" s="146"/>
      <c r="G65590" s="142"/>
      <c r="H65590" s="142"/>
      <c r="I65590" s="147"/>
    </row>
    <row r="65591" spans="1:9" s="149" customFormat="1">
      <c r="A65591" s="143"/>
      <c r="B65591" s="144"/>
      <c r="C65591" s="180"/>
      <c r="D65591" s="144"/>
      <c r="E65591" s="145"/>
      <c r="F65591" s="146"/>
      <c r="G65591" s="142"/>
      <c r="H65591" s="142"/>
      <c r="I65591" s="147"/>
    </row>
    <row r="65592" spans="1:9" s="149" customFormat="1">
      <c r="A65592" s="143"/>
      <c r="B65592" s="144"/>
      <c r="C65592" s="180"/>
      <c r="D65592" s="144"/>
      <c r="E65592" s="145"/>
      <c r="F65592" s="146"/>
      <c r="G65592" s="142"/>
      <c r="H65592" s="142"/>
      <c r="I65592" s="147"/>
    </row>
    <row r="65593" spans="1:9" s="149" customFormat="1">
      <c r="A65593" s="143"/>
      <c r="B65593" s="144"/>
      <c r="C65593" s="180"/>
      <c r="D65593" s="144"/>
      <c r="E65593" s="145"/>
      <c r="F65593" s="146"/>
      <c r="G65593" s="142"/>
      <c r="H65593" s="142"/>
      <c r="I65593" s="147"/>
    </row>
    <row r="65594" spans="1:9" s="149" customFormat="1">
      <c r="A65594" s="143"/>
      <c r="B65594" s="144"/>
      <c r="C65594" s="180"/>
      <c r="D65594" s="144"/>
      <c r="E65594" s="145"/>
      <c r="F65594" s="146"/>
      <c r="G65594" s="142"/>
      <c r="H65594" s="142"/>
      <c r="I65594" s="147"/>
    </row>
    <row r="65595" spans="1:9" s="149" customFormat="1">
      <c r="A65595" s="143"/>
      <c r="B65595" s="144"/>
      <c r="C65595" s="180"/>
      <c r="D65595" s="144"/>
      <c r="E65595" s="145"/>
      <c r="F65595" s="146"/>
      <c r="G65595" s="142"/>
      <c r="H65595" s="142"/>
      <c r="I65595" s="147"/>
    </row>
    <row r="65596" spans="1:9" s="149" customFormat="1">
      <c r="A65596" s="143"/>
      <c r="B65596" s="144"/>
      <c r="C65596" s="180"/>
      <c r="D65596" s="144"/>
      <c r="E65596" s="145"/>
      <c r="F65596" s="146"/>
      <c r="G65596" s="142"/>
      <c r="H65596" s="142"/>
      <c r="I65596" s="147"/>
    </row>
    <row r="65597" spans="1:9" s="149" customFormat="1">
      <c r="A65597" s="143"/>
      <c r="B65597" s="144"/>
      <c r="C65597" s="180"/>
      <c r="D65597" s="144"/>
      <c r="E65597" s="145"/>
      <c r="F65597" s="146"/>
      <c r="G65597" s="142"/>
      <c r="H65597" s="142"/>
      <c r="I65597" s="147"/>
    </row>
    <row r="65598" spans="1:9" s="149" customFormat="1">
      <c r="A65598" s="143"/>
      <c r="B65598" s="144"/>
      <c r="C65598" s="180"/>
      <c r="D65598" s="144"/>
      <c r="E65598" s="145"/>
      <c r="F65598" s="146"/>
      <c r="G65598" s="142"/>
      <c r="H65598" s="142"/>
      <c r="I65598" s="147"/>
    </row>
    <row r="65599" spans="1:9" s="149" customFormat="1">
      <c r="A65599" s="143"/>
      <c r="B65599" s="144"/>
      <c r="C65599" s="180"/>
      <c r="D65599" s="144"/>
      <c r="E65599" s="145"/>
      <c r="F65599" s="146"/>
      <c r="G65599" s="142"/>
      <c r="H65599" s="142"/>
      <c r="I65599" s="147"/>
    </row>
    <row r="65600" spans="1:9" s="149" customFormat="1">
      <c r="A65600" s="143"/>
      <c r="B65600" s="144"/>
      <c r="C65600" s="180"/>
      <c r="D65600" s="144"/>
      <c r="E65600" s="145"/>
      <c r="F65600" s="146"/>
      <c r="G65600" s="142"/>
      <c r="H65600" s="142"/>
      <c r="I65600" s="147"/>
    </row>
    <row r="65601" spans="1:9" s="149" customFormat="1">
      <c r="A65601" s="143"/>
      <c r="B65601" s="144"/>
      <c r="C65601" s="180"/>
      <c r="D65601" s="144"/>
      <c r="E65601" s="145"/>
      <c r="F65601" s="146"/>
      <c r="G65601" s="142"/>
      <c r="H65601" s="142"/>
      <c r="I65601" s="147"/>
    </row>
    <row r="65602" spans="1:9" s="149" customFormat="1">
      <c r="A65602" s="143"/>
      <c r="B65602" s="144"/>
      <c r="C65602" s="180"/>
      <c r="D65602" s="144"/>
      <c r="E65602" s="145"/>
      <c r="F65602" s="146"/>
      <c r="G65602" s="142"/>
      <c r="H65602" s="142"/>
      <c r="I65602" s="147"/>
    </row>
    <row r="65603" spans="1:9" s="149" customFormat="1">
      <c r="A65603" s="143"/>
      <c r="B65603" s="144"/>
      <c r="C65603" s="180"/>
      <c r="D65603" s="144"/>
      <c r="E65603" s="145"/>
      <c r="F65603" s="146"/>
      <c r="G65603" s="142"/>
      <c r="H65603" s="142"/>
      <c r="I65603" s="147"/>
    </row>
    <row r="65604" spans="1:9" s="149" customFormat="1">
      <c r="A65604" s="143"/>
      <c r="B65604" s="144"/>
      <c r="C65604" s="180"/>
      <c r="D65604" s="144"/>
      <c r="E65604" s="145"/>
      <c r="F65604" s="146"/>
      <c r="G65604" s="142"/>
      <c r="H65604" s="142"/>
      <c r="I65604" s="147"/>
    </row>
    <row r="65605" spans="1:9" s="149" customFormat="1">
      <c r="A65605" s="143"/>
      <c r="B65605" s="144"/>
      <c r="C65605" s="180"/>
      <c r="D65605" s="144"/>
      <c r="E65605" s="145"/>
      <c r="F65605" s="146"/>
      <c r="G65605" s="142"/>
      <c r="H65605" s="142"/>
      <c r="I65605" s="147"/>
    </row>
    <row r="65606" spans="1:9" s="149" customFormat="1">
      <c r="A65606" s="143"/>
      <c r="B65606" s="144"/>
      <c r="C65606" s="180"/>
      <c r="D65606" s="144"/>
      <c r="E65606" s="145"/>
      <c r="F65606" s="146"/>
      <c r="G65606" s="142"/>
      <c r="H65606" s="142"/>
      <c r="I65606" s="147"/>
    </row>
  </sheetData>
  <mergeCells count="141">
    <mergeCell ref="B248:I248"/>
    <mergeCell ref="A251:H251"/>
    <mergeCell ref="A252:H252"/>
    <mergeCell ref="A241:H241"/>
    <mergeCell ref="A242:I242"/>
    <mergeCell ref="B244:I244"/>
    <mergeCell ref="B245:I245"/>
    <mergeCell ref="A227:H227"/>
    <mergeCell ref="A228:H228"/>
    <mergeCell ref="A230:I230"/>
    <mergeCell ref="A231:I231"/>
    <mergeCell ref="B238:I238"/>
    <mergeCell ref="B233:I233"/>
    <mergeCell ref="B234:I234"/>
    <mergeCell ref="A215:H215"/>
    <mergeCell ref="B216:I216"/>
    <mergeCell ref="B217:I217"/>
    <mergeCell ref="B222:I222"/>
    <mergeCell ref="B224:I224"/>
    <mergeCell ref="A207:H207"/>
    <mergeCell ref="A208:I208"/>
    <mergeCell ref="B210:I210"/>
    <mergeCell ref="B211:I211"/>
    <mergeCell ref="B213:I213"/>
    <mergeCell ref="B194:I194"/>
    <mergeCell ref="B195:I195"/>
    <mergeCell ref="B202:I202"/>
    <mergeCell ref="B204:I204"/>
    <mergeCell ref="A206:H206"/>
    <mergeCell ref="A186:I186"/>
    <mergeCell ref="B188:I188"/>
    <mergeCell ref="B189:I189"/>
    <mergeCell ref="B191:I191"/>
    <mergeCell ref="A193:H193"/>
    <mergeCell ref="B176:I176"/>
    <mergeCell ref="B180:I180"/>
    <mergeCell ref="B182:I182"/>
    <mergeCell ref="A184:H184"/>
    <mergeCell ref="A185:H185"/>
    <mergeCell ref="B169:I169"/>
    <mergeCell ref="B170:I170"/>
    <mergeCell ref="B172:I172"/>
    <mergeCell ref="A174:H174"/>
    <mergeCell ref="B175:I175"/>
    <mergeCell ref="B159:I159"/>
    <mergeCell ref="B163:I163"/>
    <mergeCell ref="A165:H165"/>
    <mergeCell ref="A166:H166"/>
    <mergeCell ref="A167:I167"/>
    <mergeCell ref="B151:I151"/>
    <mergeCell ref="A154:H154"/>
    <mergeCell ref="A155:H155"/>
    <mergeCell ref="A156:I156"/>
    <mergeCell ref="B158:I158"/>
    <mergeCell ref="B139:I139"/>
    <mergeCell ref="A141:H141"/>
    <mergeCell ref="B142:I142"/>
    <mergeCell ref="B143:I143"/>
    <mergeCell ref="B149:I149"/>
    <mergeCell ref="A132:H132"/>
    <mergeCell ref="A133:H133"/>
    <mergeCell ref="A134:I134"/>
    <mergeCell ref="B136:I136"/>
    <mergeCell ref="B137:I137"/>
    <mergeCell ref="A122:H122"/>
    <mergeCell ref="B123:I123"/>
    <mergeCell ref="B124:I124"/>
    <mergeCell ref="B128:I128"/>
    <mergeCell ref="B130:I130"/>
    <mergeCell ref="A114:H114"/>
    <mergeCell ref="A115:I115"/>
    <mergeCell ref="B117:I117"/>
    <mergeCell ref="B118:I118"/>
    <mergeCell ref="B120:I120"/>
    <mergeCell ref="B104:I104"/>
    <mergeCell ref="B105:I105"/>
    <mergeCell ref="B109:I109"/>
    <mergeCell ref="B111:I111"/>
    <mergeCell ref="A113:H113"/>
    <mergeCell ref="A96:I96"/>
    <mergeCell ref="B98:I98"/>
    <mergeCell ref="B99:I99"/>
    <mergeCell ref="B101:I101"/>
    <mergeCell ref="A103:H103"/>
    <mergeCell ref="A95:H95"/>
    <mergeCell ref="B44:I44"/>
    <mergeCell ref="B45:I45"/>
    <mergeCell ref="A47:H47"/>
    <mergeCell ref="B79:I79"/>
    <mergeCell ref="B80:I80"/>
    <mergeCell ref="A82:H82"/>
    <mergeCell ref="B73:I73"/>
    <mergeCell ref="B74:I74"/>
    <mergeCell ref="B76:I76"/>
    <mergeCell ref="A78:H78"/>
    <mergeCell ref="B84:I84"/>
    <mergeCell ref="B83:I83"/>
    <mergeCell ref="B89:I89"/>
    <mergeCell ref="B91:I91"/>
    <mergeCell ref="A94:H94"/>
    <mergeCell ref="A61:I61"/>
    <mergeCell ref="B66:I66"/>
    <mergeCell ref="B68:I68"/>
    <mergeCell ref="A72:H72"/>
    <mergeCell ref="A59:H59"/>
    <mergeCell ref="A60:H60"/>
    <mergeCell ref="B49:I49"/>
    <mergeCell ref="B41:I41"/>
    <mergeCell ref="A43:H43"/>
    <mergeCell ref="B48:I48"/>
    <mergeCell ref="B54:I54"/>
    <mergeCell ref="B56:I56"/>
    <mergeCell ref="A28:H28"/>
    <mergeCell ref="A29:H29"/>
    <mergeCell ref="A30:I30"/>
    <mergeCell ref="B38:I38"/>
    <mergeCell ref="B39:I39"/>
    <mergeCell ref="C7:I7"/>
    <mergeCell ref="B1:I1"/>
    <mergeCell ref="C2:I2"/>
    <mergeCell ref="C3:I3"/>
    <mergeCell ref="C4:I5"/>
    <mergeCell ref="C6:I6"/>
    <mergeCell ref="A254:H254"/>
    <mergeCell ref="G8:H8"/>
    <mergeCell ref="G9:H9"/>
    <mergeCell ref="A229:H229"/>
    <mergeCell ref="A240:H240"/>
    <mergeCell ref="A253:H253"/>
    <mergeCell ref="A10:I10"/>
    <mergeCell ref="B13:I13"/>
    <mergeCell ref="B14:I14"/>
    <mergeCell ref="B16:I16"/>
    <mergeCell ref="A18:H18"/>
    <mergeCell ref="A11:I11"/>
    <mergeCell ref="B19:I19"/>
    <mergeCell ref="B20:I20"/>
    <mergeCell ref="B24:I24"/>
    <mergeCell ref="B26:I26"/>
    <mergeCell ref="B35:I35"/>
    <mergeCell ref="A37:H37"/>
  </mergeCells>
  <pageMargins left="0.78740157480314965" right="0.19685039370078741" top="0.39370078740157483" bottom="0.59055118110236227" header="0.31496062992125984" footer="0.39370078740157483"/>
  <pageSetup paperSize="9" orientation="portrait" r:id="rId1"/>
  <headerFooter>
    <oddFooter xml:space="preserve">&amp;C&amp;9Página &amp;P 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5761"/>
  <sheetViews>
    <sheetView showGridLines="0" zoomScaleNormal="100" workbookViewId="0">
      <selection activeCell="H438" sqref="H438:H440"/>
    </sheetView>
  </sheetViews>
  <sheetFormatPr defaultColWidth="9.140625" defaultRowHeight="11.25"/>
  <cols>
    <col min="1" max="1" width="5.28515625" style="218" bestFit="1" customWidth="1"/>
    <col min="2" max="2" width="9" style="144" customWidth="1"/>
    <col min="3" max="3" width="7.140625" style="180" customWidth="1"/>
    <col min="4" max="4" width="28.140625" style="144" customWidth="1"/>
    <col min="5" max="5" width="6.28515625" style="145" customWidth="1"/>
    <col min="6" max="6" width="8.42578125" style="146" bestFit="1" customWidth="1"/>
    <col min="7" max="7" width="10.140625" style="142" customWidth="1"/>
    <col min="8" max="8" width="10.42578125" style="221" customWidth="1"/>
    <col min="9" max="9" width="9.7109375" style="147" customWidth="1"/>
    <col min="10" max="10" width="11.28515625" style="129" customWidth="1"/>
    <col min="11" max="16384" width="9.140625" style="129"/>
  </cols>
  <sheetData>
    <row r="1" spans="1:9">
      <c r="A1" s="125"/>
      <c r="B1" s="399" t="str">
        <f>Resumo!B1</f>
        <v>____/___/2026</v>
      </c>
      <c r="C1" s="399"/>
      <c r="D1" s="399"/>
      <c r="E1" s="399"/>
      <c r="F1" s="399"/>
      <c r="G1" s="399"/>
      <c r="H1" s="399"/>
      <c r="I1" s="400"/>
    </row>
    <row r="2" spans="1:9" ht="15">
      <c r="A2" s="130"/>
      <c r="B2" s="131"/>
      <c r="C2" s="401" t="s">
        <v>156</v>
      </c>
      <c r="D2" s="401"/>
      <c r="E2" s="401"/>
      <c r="F2" s="401"/>
      <c r="G2" s="401"/>
      <c r="H2" s="401"/>
      <c r="I2" s="408"/>
    </row>
    <row r="3" spans="1:9" ht="15">
      <c r="A3" s="130"/>
      <c r="B3" s="131"/>
      <c r="C3" s="401" t="s">
        <v>157</v>
      </c>
      <c r="D3" s="401"/>
      <c r="E3" s="401"/>
      <c r="F3" s="401"/>
      <c r="G3" s="401"/>
      <c r="H3" s="401"/>
      <c r="I3" s="408"/>
    </row>
    <row r="4" spans="1:9">
      <c r="A4" s="130"/>
      <c r="B4" s="131"/>
      <c r="C4" s="401" t="str">
        <f>MACROS!C4</f>
        <v>FORNECIMENTO E INSTALAÇÃO DE MACRO MEDIDORES DE VAZÃO E VÁLVULAS REDUTORAS DE PRESSÃO E DELIMITAÇÃO DE ÁREAS DE INFLUÊNCIA</v>
      </c>
      <c r="D4" s="401"/>
      <c r="E4" s="401"/>
      <c r="F4" s="401"/>
      <c r="G4" s="401"/>
      <c r="H4" s="401"/>
      <c r="I4" s="408"/>
    </row>
    <row r="5" spans="1:9" ht="33.75" customHeight="1">
      <c r="A5" s="130"/>
      <c r="B5" s="131"/>
      <c r="C5" s="401"/>
      <c r="D5" s="401"/>
      <c r="E5" s="401"/>
      <c r="F5" s="401"/>
      <c r="G5" s="401"/>
      <c r="H5" s="401"/>
      <c r="I5" s="408"/>
    </row>
    <row r="6" spans="1:9">
      <c r="A6" s="130"/>
      <c r="B6" s="131"/>
      <c r="C6" s="404" t="str">
        <f>MACROS!C6</f>
        <v>DATA BASE - REGIÃO: SABESP Jan/26; SINAPI/SP Jan/26; CDHU Jan/26; SBC Fev/26 ; PNPC</v>
      </c>
      <c r="D6" s="404"/>
      <c r="E6" s="404"/>
      <c r="F6" s="404"/>
      <c r="G6" s="404"/>
      <c r="H6" s="404"/>
      <c r="I6" s="405"/>
    </row>
    <row r="7" spans="1:9" ht="33" customHeight="1">
      <c r="A7" s="130"/>
      <c r="B7" s="131"/>
      <c r="C7" s="401" t="s">
        <v>341</v>
      </c>
      <c r="D7" s="401"/>
      <c r="E7" s="401"/>
      <c r="F7" s="401"/>
      <c r="G7" s="401"/>
      <c r="H7" s="401"/>
      <c r="I7" s="408"/>
    </row>
    <row r="8" spans="1:9">
      <c r="A8" s="130"/>
      <c r="B8" s="131"/>
      <c r="C8" s="131"/>
      <c r="D8" s="132"/>
      <c r="E8" s="132"/>
      <c r="F8" s="132"/>
      <c r="G8" s="437" t="s">
        <v>191</v>
      </c>
      <c r="H8" s="438"/>
      <c r="I8" s="127">
        <v>0.92700000000000005</v>
      </c>
    </row>
    <row r="9" spans="1:9">
      <c r="A9" s="126"/>
      <c r="B9" s="131"/>
      <c r="C9" s="131"/>
      <c r="D9" s="132"/>
      <c r="E9" s="133"/>
      <c r="F9" s="133"/>
      <c r="G9" s="437" t="s">
        <v>195</v>
      </c>
      <c r="H9" s="438"/>
      <c r="I9" s="127">
        <v>0.26979999999999998</v>
      </c>
    </row>
    <row r="10" spans="1:9" s="134" customFormat="1" ht="16.5" customHeight="1">
      <c r="A10" s="460" t="s">
        <v>358</v>
      </c>
      <c r="B10" s="461"/>
      <c r="C10" s="461"/>
      <c r="D10" s="461"/>
      <c r="E10" s="461"/>
      <c r="F10" s="461"/>
      <c r="G10" s="461"/>
      <c r="H10" s="461"/>
      <c r="I10" s="462"/>
    </row>
    <row r="11" spans="1:9" s="134" customFormat="1" ht="33.75">
      <c r="A11" s="274" t="s">
        <v>1</v>
      </c>
      <c r="B11" s="274" t="s">
        <v>3</v>
      </c>
      <c r="C11" s="274" t="s">
        <v>15</v>
      </c>
      <c r="D11" s="274" t="s">
        <v>2</v>
      </c>
      <c r="E11" s="274" t="s">
        <v>316</v>
      </c>
      <c r="F11" s="275" t="s">
        <v>158</v>
      </c>
      <c r="G11" s="276" t="s">
        <v>159</v>
      </c>
      <c r="H11" s="276" t="s">
        <v>160</v>
      </c>
      <c r="I11" s="277" t="s">
        <v>161</v>
      </c>
    </row>
    <row r="12" spans="1:9" s="135" customFormat="1" ht="12" customHeight="1">
      <c r="A12" s="150">
        <v>1</v>
      </c>
      <c r="B12" s="169" t="s">
        <v>238</v>
      </c>
      <c r="C12" s="170"/>
      <c r="D12" s="170"/>
      <c r="E12" s="170"/>
      <c r="F12" s="253"/>
      <c r="G12" s="170"/>
      <c r="H12" s="220"/>
      <c r="I12" s="171"/>
    </row>
    <row r="13" spans="1:9" s="135" customFormat="1" ht="12" customHeight="1">
      <c r="A13" s="278" t="s">
        <v>4</v>
      </c>
      <c r="B13" s="279" t="s">
        <v>239</v>
      </c>
      <c r="C13" s="280"/>
      <c r="D13" s="280"/>
      <c r="E13" s="280"/>
      <c r="F13" s="281"/>
      <c r="G13" s="280"/>
      <c r="H13" s="282"/>
      <c r="I13" s="283"/>
    </row>
    <row r="14" spans="1:9" s="264" customFormat="1">
      <c r="A14" s="285" t="s">
        <v>162</v>
      </c>
      <c r="B14" s="226">
        <v>70020004</v>
      </c>
      <c r="C14" s="226" t="s">
        <v>142</v>
      </c>
      <c r="D14" s="222" t="s">
        <v>240</v>
      </c>
      <c r="E14" s="285" t="s">
        <v>6</v>
      </c>
      <c r="F14" s="256">
        <f>(14*2)+(14*4)+(14*4)+(14*3)</f>
        <v>182</v>
      </c>
      <c r="G14" s="286"/>
      <c r="H14" s="140">
        <f>G14*(1+$I$9)</f>
        <v>0</v>
      </c>
      <c r="I14" s="286">
        <f>ROUND((F14*H14),2)</f>
        <v>0</v>
      </c>
    </row>
    <row r="15" spans="1:9" s="264" customFormat="1">
      <c r="A15" s="284" t="s">
        <v>123</v>
      </c>
      <c r="B15" s="451" t="s">
        <v>241</v>
      </c>
      <c r="C15" s="452"/>
      <c r="D15" s="452"/>
      <c r="E15" s="452"/>
      <c r="F15" s="452"/>
      <c r="G15" s="452"/>
      <c r="H15" s="452"/>
      <c r="I15" s="453"/>
    </row>
    <row r="16" spans="1:9" s="264" customFormat="1" ht="45">
      <c r="A16" s="285" t="s">
        <v>180</v>
      </c>
      <c r="B16" s="285">
        <v>97636</v>
      </c>
      <c r="C16" s="285" t="s">
        <v>146</v>
      </c>
      <c r="D16" s="219" t="s">
        <v>289</v>
      </c>
      <c r="E16" s="226" t="s">
        <v>140</v>
      </c>
      <c r="F16" s="256">
        <f>(2*2)*7+(0.8*8)*2</f>
        <v>40.799999999999997</v>
      </c>
      <c r="G16" s="286"/>
      <c r="H16" s="140">
        <f>G16*(1+$I$9)</f>
        <v>0</v>
      </c>
      <c r="I16" s="286">
        <f>ROUND((F16*H16),2)</f>
        <v>0</v>
      </c>
    </row>
    <row r="17" spans="1:9" s="264" customFormat="1">
      <c r="A17" s="284" t="s">
        <v>124</v>
      </c>
      <c r="B17" s="451" t="s">
        <v>242</v>
      </c>
      <c r="C17" s="452"/>
      <c r="D17" s="452"/>
      <c r="E17" s="452"/>
      <c r="F17" s="452"/>
      <c r="G17" s="452"/>
      <c r="H17" s="452"/>
      <c r="I17" s="453"/>
    </row>
    <row r="18" spans="1:9" s="264" customFormat="1" ht="67.5">
      <c r="A18" s="285" t="s">
        <v>220</v>
      </c>
      <c r="B18" s="285">
        <v>100981</v>
      </c>
      <c r="C18" s="285" t="s">
        <v>146</v>
      </c>
      <c r="D18" s="219" t="s">
        <v>243</v>
      </c>
      <c r="E18" s="285" t="s">
        <v>287</v>
      </c>
      <c r="F18" s="287">
        <f>(F16*0.15)</f>
        <v>6.1199999999999992</v>
      </c>
      <c r="G18" s="286"/>
      <c r="H18" s="140">
        <f>G18*(1+$I$9)</f>
        <v>0</v>
      </c>
      <c r="I18" s="286">
        <f>ROUND((F18*H18),2)</f>
        <v>0</v>
      </c>
    </row>
    <row r="19" spans="1:9" s="264" customFormat="1" ht="45">
      <c r="A19" s="215" t="s">
        <v>224</v>
      </c>
      <c r="B19" s="215">
        <v>97914</v>
      </c>
      <c r="C19" s="215" t="s">
        <v>146</v>
      </c>
      <c r="D19" s="219" t="s">
        <v>290</v>
      </c>
      <c r="E19" s="215" t="s">
        <v>288</v>
      </c>
      <c r="F19" s="254">
        <f>F18*20</f>
        <v>122.39999999999998</v>
      </c>
      <c r="G19" s="216"/>
      <c r="H19" s="140">
        <f>G19*(1+$I$9)</f>
        <v>0</v>
      </c>
      <c r="I19" s="216">
        <f>ROUND((F19*H19),2)</f>
        <v>0</v>
      </c>
    </row>
    <row r="20" spans="1:9" s="264" customFormat="1" ht="22.5">
      <c r="A20" s="215" t="s">
        <v>225</v>
      </c>
      <c r="B20" s="215" t="s">
        <v>282</v>
      </c>
      <c r="C20" s="215" t="s">
        <v>167</v>
      </c>
      <c r="D20" s="219" t="s">
        <v>244</v>
      </c>
      <c r="E20" s="215" t="s">
        <v>245</v>
      </c>
      <c r="F20" s="254">
        <f>F18*2.4</f>
        <v>14.687999999999997</v>
      </c>
      <c r="G20" s="217"/>
      <c r="H20" s="140">
        <f>G20*(1+$I$9)</f>
        <v>0</v>
      </c>
      <c r="I20" s="216">
        <f>ROUND((F20*H20),2)</f>
        <v>0</v>
      </c>
    </row>
    <row r="21" spans="1:9" s="264" customFormat="1" ht="12.75" customHeight="1">
      <c r="A21" s="442" t="str">
        <f>CONCATENATE("SUBTOTAL ",A12)</f>
        <v>SUBTOTAL 1</v>
      </c>
      <c r="B21" s="443"/>
      <c r="C21" s="443"/>
      <c r="D21" s="443"/>
      <c r="E21" s="443"/>
      <c r="F21" s="443"/>
      <c r="G21" s="443"/>
      <c r="H21" s="444"/>
      <c r="I21" s="265">
        <f>SUM(I14:I20)</f>
        <v>0</v>
      </c>
    </row>
    <row r="22" spans="1:9" s="264" customFormat="1">
      <c r="A22" s="262">
        <v>2</v>
      </c>
      <c r="B22" s="448" t="s">
        <v>246</v>
      </c>
      <c r="C22" s="449"/>
      <c r="D22" s="449"/>
      <c r="E22" s="449"/>
      <c r="F22" s="449"/>
      <c r="G22" s="449"/>
      <c r="H22" s="449"/>
      <c r="I22" s="450"/>
    </row>
    <row r="23" spans="1:9" s="264" customFormat="1">
      <c r="A23" s="284" t="s">
        <v>8</v>
      </c>
      <c r="B23" s="451" t="s">
        <v>247</v>
      </c>
      <c r="C23" s="452"/>
      <c r="D23" s="452"/>
      <c r="E23" s="452"/>
      <c r="F23" s="452"/>
      <c r="G23" s="452"/>
      <c r="H23" s="452"/>
      <c r="I23" s="453"/>
    </row>
    <row r="24" spans="1:9" s="264" customFormat="1" ht="33.75">
      <c r="A24" s="285" t="s">
        <v>248</v>
      </c>
      <c r="B24" s="285">
        <v>70030060</v>
      </c>
      <c r="C24" s="285" t="s">
        <v>142</v>
      </c>
      <c r="D24" s="219" t="s">
        <v>249</v>
      </c>
      <c r="E24" s="285" t="s">
        <v>287</v>
      </c>
      <c r="F24" s="256">
        <f>F16*1.3</f>
        <v>53.04</v>
      </c>
      <c r="G24" s="263"/>
      <c r="H24" s="140">
        <f>G24*(1+$I$9)</f>
        <v>0</v>
      </c>
      <c r="I24" s="286">
        <f>ROUND((F24*H24),2)</f>
        <v>0</v>
      </c>
    </row>
    <row r="25" spans="1:9" s="264" customFormat="1">
      <c r="A25" s="284" t="s">
        <v>9</v>
      </c>
      <c r="B25" s="451" t="s">
        <v>250</v>
      </c>
      <c r="C25" s="452"/>
      <c r="D25" s="452"/>
      <c r="E25" s="452"/>
      <c r="F25" s="452"/>
      <c r="G25" s="452"/>
      <c r="H25" s="452"/>
      <c r="I25" s="453"/>
    </row>
    <row r="26" spans="1:9" s="264" customFormat="1" ht="45">
      <c r="A26" s="215" t="s">
        <v>251</v>
      </c>
      <c r="B26" s="215">
        <v>70030020</v>
      </c>
      <c r="C26" s="215" t="s">
        <v>142</v>
      </c>
      <c r="D26" s="219" t="s">
        <v>252</v>
      </c>
      <c r="E26" s="215" t="s">
        <v>287</v>
      </c>
      <c r="F26" s="254">
        <f>F24</f>
        <v>53.04</v>
      </c>
      <c r="G26" s="217"/>
      <c r="H26" s="140">
        <f>G26*(1+$I$9)</f>
        <v>0</v>
      </c>
      <c r="I26" s="216">
        <f>ROUND((F26*H26),2)</f>
        <v>0</v>
      </c>
    </row>
    <row r="27" spans="1:9" s="264" customFormat="1" ht="12.75" customHeight="1">
      <c r="A27" s="442" t="str">
        <f>CONCATENATE("SUBTOTAL ",A22)</f>
        <v>SUBTOTAL 2</v>
      </c>
      <c r="B27" s="443"/>
      <c r="C27" s="443"/>
      <c r="D27" s="443"/>
      <c r="E27" s="443"/>
      <c r="F27" s="443"/>
      <c r="G27" s="443"/>
      <c r="H27" s="444"/>
      <c r="I27" s="265">
        <f>SUM(I24:I26)</f>
        <v>0</v>
      </c>
    </row>
    <row r="28" spans="1:9" s="264" customFormat="1">
      <c r="A28" s="262">
        <v>3</v>
      </c>
      <c r="B28" s="448" t="s">
        <v>342</v>
      </c>
      <c r="C28" s="449"/>
      <c r="D28" s="449"/>
      <c r="E28" s="449"/>
      <c r="F28" s="449"/>
      <c r="G28" s="449"/>
      <c r="H28" s="449"/>
      <c r="I28" s="450"/>
    </row>
    <row r="29" spans="1:9" s="264" customFormat="1">
      <c r="A29" s="284" t="s">
        <v>135</v>
      </c>
      <c r="B29" s="451" t="s">
        <v>253</v>
      </c>
      <c r="C29" s="452"/>
      <c r="D29" s="452"/>
      <c r="E29" s="452"/>
      <c r="F29" s="452"/>
      <c r="G29" s="452"/>
      <c r="H29" s="452"/>
      <c r="I29" s="453"/>
    </row>
    <row r="30" spans="1:9" s="264" customFormat="1" ht="67.5">
      <c r="A30" s="215" t="s">
        <v>254</v>
      </c>
      <c r="B30" s="215">
        <v>7042</v>
      </c>
      <c r="C30" s="215" t="s">
        <v>146</v>
      </c>
      <c r="D30" s="219" t="s">
        <v>291</v>
      </c>
      <c r="E30" s="215" t="s">
        <v>255</v>
      </c>
      <c r="F30" s="254">
        <f>(2*7)+(2*2)</f>
        <v>18</v>
      </c>
      <c r="G30" s="216"/>
      <c r="H30" s="140">
        <f>G30*(1+$I$9)</f>
        <v>0</v>
      </c>
      <c r="I30" s="216">
        <f>ROUND((F30*H30),2)</f>
        <v>0</v>
      </c>
    </row>
    <row r="31" spans="1:9" s="264" customFormat="1" ht="12.75" customHeight="1">
      <c r="A31" s="442" t="str">
        <f>CONCATENATE("SUBTOTAL ",A28)</f>
        <v>SUBTOTAL 3</v>
      </c>
      <c r="B31" s="443"/>
      <c r="C31" s="443"/>
      <c r="D31" s="443"/>
      <c r="E31" s="443"/>
      <c r="F31" s="443"/>
      <c r="G31" s="443"/>
      <c r="H31" s="444"/>
      <c r="I31" s="265">
        <f>SUM(I30)</f>
        <v>0</v>
      </c>
    </row>
    <row r="32" spans="1:9" s="264" customFormat="1">
      <c r="A32" s="262">
        <v>4</v>
      </c>
      <c r="B32" s="448" t="s">
        <v>256</v>
      </c>
      <c r="C32" s="449"/>
      <c r="D32" s="449"/>
      <c r="E32" s="449"/>
      <c r="F32" s="449"/>
      <c r="G32" s="449"/>
      <c r="H32" s="449"/>
      <c r="I32" s="450"/>
    </row>
    <row r="33" spans="1:9" s="288" customFormat="1">
      <c r="A33" s="284" t="s">
        <v>136</v>
      </c>
      <c r="B33" s="451" t="s">
        <v>257</v>
      </c>
      <c r="C33" s="452"/>
      <c r="D33" s="452"/>
      <c r="E33" s="452"/>
      <c r="F33" s="452"/>
      <c r="G33" s="452"/>
      <c r="H33" s="452"/>
      <c r="I33" s="453"/>
    </row>
    <row r="34" spans="1:9" s="264" customFormat="1" ht="56.25">
      <c r="A34" s="214" t="s">
        <v>258</v>
      </c>
      <c r="B34" s="215">
        <v>95995</v>
      </c>
      <c r="C34" s="215" t="s">
        <v>146</v>
      </c>
      <c r="D34" s="219" t="s">
        <v>259</v>
      </c>
      <c r="E34" s="214" t="s">
        <v>287</v>
      </c>
      <c r="F34" s="255">
        <f>F16*0.05</f>
        <v>2.04</v>
      </c>
      <c r="G34" s="217"/>
      <c r="H34" s="140">
        <f t="shared" ref="H34:H39" si="0">G34*(1+$I$9)</f>
        <v>0</v>
      </c>
      <c r="I34" s="216">
        <f>ROUND((F34*H34),2)</f>
        <v>0</v>
      </c>
    </row>
    <row r="35" spans="1:9" s="264" customFormat="1" ht="22.5">
      <c r="A35" s="214" t="s">
        <v>260</v>
      </c>
      <c r="B35" s="215">
        <v>100985</v>
      </c>
      <c r="C35" s="215" t="s">
        <v>146</v>
      </c>
      <c r="D35" s="219" t="s">
        <v>261</v>
      </c>
      <c r="E35" s="215" t="s">
        <v>287</v>
      </c>
      <c r="F35" s="254">
        <f>F34</f>
        <v>2.04</v>
      </c>
      <c r="G35" s="216"/>
      <c r="H35" s="140">
        <f t="shared" si="0"/>
        <v>0</v>
      </c>
      <c r="I35" s="216">
        <f t="shared" ref="I35:I39" si="1">ROUND((F35*H35),2)</f>
        <v>0</v>
      </c>
    </row>
    <row r="36" spans="1:9" s="264" customFormat="1" ht="45">
      <c r="A36" s="214" t="s">
        <v>262</v>
      </c>
      <c r="B36" s="215">
        <v>97914</v>
      </c>
      <c r="C36" s="215" t="s">
        <v>146</v>
      </c>
      <c r="D36" s="219" t="s">
        <v>263</v>
      </c>
      <c r="E36" s="215" t="s">
        <v>288</v>
      </c>
      <c r="F36" s="254">
        <f>F34*20</f>
        <v>40.799999999999997</v>
      </c>
      <c r="G36" s="216"/>
      <c r="H36" s="140">
        <f t="shared" si="0"/>
        <v>0</v>
      </c>
      <c r="I36" s="216">
        <f t="shared" si="1"/>
        <v>0</v>
      </c>
    </row>
    <row r="37" spans="1:9" s="264" customFormat="1">
      <c r="A37" s="214" t="s">
        <v>264</v>
      </c>
      <c r="B37" s="214" t="s">
        <v>283</v>
      </c>
      <c r="C37" s="214" t="s">
        <v>167</v>
      </c>
      <c r="D37" s="222" t="s">
        <v>265</v>
      </c>
      <c r="E37" s="214" t="s">
        <v>140</v>
      </c>
      <c r="F37" s="255">
        <f>F16</f>
        <v>40.799999999999997</v>
      </c>
      <c r="G37" s="216"/>
      <c r="H37" s="140">
        <f t="shared" si="0"/>
        <v>0</v>
      </c>
      <c r="I37" s="216">
        <f t="shared" si="1"/>
        <v>0</v>
      </c>
    </row>
    <row r="38" spans="1:9" s="264" customFormat="1" ht="22.5">
      <c r="A38" s="214" t="s">
        <v>266</v>
      </c>
      <c r="B38" s="214" t="s">
        <v>284</v>
      </c>
      <c r="C38" s="214" t="s">
        <v>167</v>
      </c>
      <c r="D38" s="222" t="s">
        <v>267</v>
      </c>
      <c r="E38" s="214" t="s">
        <v>286</v>
      </c>
      <c r="F38" s="255">
        <f>F37</f>
        <v>40.799999999999997</v>
      </c>
      <c r="G38" s="216"/>
      <c r="H38" s="140">
        <f t="shared" si="0"/>
        <v>0</v>
      </c>
      <c r="I38" s="216">
        <f t="shared" si="1"/>
        <v>0</v>
      </c>
    </row>
    <row r="39" spans="1:9" s="264" customFormat="1">
      <c r="A39" s="214" t="s">
        <v>268</v>
      </c>
      <c r="B39" s="214" t="s">
        <v>285</v>
      </c>
      <c r="C39" s="214" t="s">
        <v>167</v>
      </c>
      <c r="D39" s="222" t="s">
        <v>269</v>
      </c>
      <c r="E39" s="214" t="s">
        <v>287</v>
      </c>
      <c r="F39" s="255">
        <f>F16*0.1</f>
        <v>4.08</v>
      </c>
      <c r="G39" s="216"/>
      <c r="H39" s="140">
        <f t="shared" si="0"/>
        <v>0</v>
      </c>
      <c r="I39" s="216">
        <f t="shared" si="1"/>
        <v>0</v>
      </c>
    </row>
    <row r="40" spans="1:9" s="264" customFormat="1">
      <c r="A40" s="442" t="str">
        <f>CONCATENATE("SUBTOTAL ",A32)</f>
        <v>SUBTOTAL 4</v>
      </c>
      <c r="B40" s="443"/>
      <c r="C40" s="443"/>
      <c r="D40" s="443"/>
      <c r="E40" s="443"/>
      <c r="F40" s="443"/>
      <c r="G40" s="443"/>
      <c r="H40" s="444"/>
      <c r="I40" s="265">
        <f>SUM(I34:I39)</f>
        <v>0</v>
      </c>
    </row>
    <row r="41" spans="1:9" s="264" customFormat="1">
      <c r="A41" s="262">
        <v>5</v>
      </c>
      <c r="B41" s="448" t="s">
        <v>343</v>
      </c>
      <c r="C41" s="449"/>
      <c r="D41" s="449"/>
      <c r="E41" s="449"/>
      <c r="F41" s="449"/>
      <c r="G41" s="449"/>
      <c r="H41" s="449"/>
      <c r="I41" s="450"/>
    </row>
    <row r="42" spans="1:9" s="288" customFormat="1">
      <c r="A42" s="284" t="s">
        <v>137</v>
      </c>
      <c r="B42" s="451" t="s">
        <v>351</v>
      </c>
      <c r="C42" s="452"/>
      <c r="D42" s="452"/>
      <c r="E42" s="452"/>
      <c r="F42" s="452"/>
      <c r="G42" s="452"/>
      <c r="H42" s="452"/>
      <c r="I42" s="453"/>
    </row>
    <row r="43" spans="1:9" s="264" customFormat="1" ht="22.5">
      <c r="A43" s="229" t="s">
        <v>270</v>
      </c>
      <c r="B43" s="246">
        <v>1206</v>
      </c>
      <c r="C43" s="137" t="s">
        <v>146</v>
      </c>
      <c r="D43" s="266" t="s">
        <v>344</v>
      </c>
      <c r="E43" s="267" t="s">
        <v>5</v>
      </c>
      <c r="F43" s="268">
        <v>14</v>
      </c>
      <c r="G43" s="269"/>
      <c r="H43" s="140">
        <f>G43*(1+$I$9)</f>
        <v>0</v>
      </c>
      <c r="I43" s="216">
        <f t="shared" ref="I43" si="2">ROUND((F43*H43),2)</f>
        <v>0</v>
      </c>
    </row>
    <row r="44" spans="1:9" s="264" customFormat="1" ht="33.75">
      <c r="A44" s="229" t="s">
        <v>271</v>
      </c>
      <c r="B44" s="272">
        <v>1831</v>
      </c>
      <c r="C44" s="137" t="s">
        <v>146</v>
      </c>
      <c r="D44" s="271" t="s">
        <v>346</v>
      </c>
      <c r="E44" s="267" t="s">
        <v>5</v>
      </c>
      <c r="F44" s="268">
        <v>4</v>
      </c>
      <c r="G44" s="269"/>
      <c r="H44" s="140">
        <f>G44*(1+$I$9)</f>
        <v>0</v>
      </c>
      <c r="I44" s="216">
        <f t="shared" ref="I44:I46" si="3">ROUND((F44*H44),2)</f>
        <v>0</v>
      </c>
    </row>
    <row r="45" spans="1:9" s="264" customFormat="1" ht="33.75">
      <c r="A45" s="229" t="s">
        <v>272</v>
      </c>
      <c r="B45" s="272">
        <v>36378</v>
      </c>
      <c r="C45" s="137" t="s">
        <v>146</v>
      </c>
      <c r="D45" s="273" t="s">
        <v>347</v>
      </c>
      <c r="E45" s="267" t="s">
        <v>6</v>
      </c>
      <c r="F45" s="268">
        <v>12</v>
      </c>
      <c r="G45" s="269"/>
      <c r="H45" s="140">
        <f>G45*(1+$I$9)</f>
        <v>0</v>
      </c>
      <c r="I45" s="216">
        <f t="shared" ref="I45" si="4">ROUND((F45*H45),2)</f>
        <v>0</v>
      </c>
    </row>
    <row r="46" spans="1:9" s="264" customFormat="1" ht="33.75">
      <c r="A46" s="229" t="s">
        <v>273</v>
      </c>
      <c r="B46" s="272">
        <v>325</v>
      </c>
      <c r="C46" s="137" t="s">
        <v>146</v>
      </c>
      <c r="D46" s="271" t="s">
        <v>345</v>
      </c>
      <c r="E46" s="267" t="s">
        <v>5</v>
      </c>
      <c r="F46" s="268">
        <f>F44+F43</f>
        <v>18</v>
      </c>
      <c r="G46" s="269"/>
      <c r="H46" s="140">
        <f>G46*(1+$I$9)</f>
        <v>0</v>
      </c>
      <c r="I46" s="216">
        <f t="shared" si="3"/>
        <v>0</v>
      </c>
    </row>
    <row r="47" spans="1:9" s="264" customFormat="1" ht="67.5">
      <c r="A47" s="229" t="s">
        <v>274</v>
      </c>
      <c r="B47" s="246">
        <v>105315</v>
      </c>
      <c r="C47" s="137" t="s">
        <v>146</v>
      </c>
      <c r="D47" s="271" t="s">
        <v>350</v>
      </c>
      <c r="E47" s="267" t="s">
        <v>5</v>
      </c>
      <c r="F47" s="268">
        <f>F43</f>
        <v>14</v>
      </c>
      <c r="G47" s="269"/>
      <c r="H47" s="140">
        <f>G47*(1+$I$9)</f>
        <v>0</v>
      </c>
      <c r="I47" s="216">
        <f t="shared" ref="I47" si="5">ROUND((F47*H47),2)</f>
        <v>0</v>
      </c>
    </row>
    <row r="48" spans="1:9" s="288" customFormat="1">
      <c r="A48" s="284" t="s">
        <v>138</v>
      </c>
      <c r="B48" s="451" t="s">
        <v>352</v>
      </c>
      <c r="C48" s="452"/>
      <c r="D48" s="452"/>
      <c r="E48" s="452"/>
      <c r="F48" s="452"/>
      <c r="G48" s="452"/>
      <c r="H48" s="452"/>
      <c r="I48" s="453"/>
    </row>
    <row r="49" spans="1:9" s="264" customFormat="1" ht="79.5" customHeight="1">
      <c r="A49" s="229" t="s">
        <v>279</v>
      </c>
      <c r="B49" s="246">
        <v>105293</v>
      </c>
      <c r="C49" s="137" t="s">
        <v>146</v>
      </c>
      <c r="D49" s="271" t="s">
        <v>348</v>
      </c>
      <c r="E49" s="267" t="s">
        <v>5</v>
      </c>
      <c r="F49" s="268">
        <f>F44</f>
        <v>4</v>
      </c>
      <c r="G49" s="269"/>
      <c r="H49" s="140">
        <f>G49*(1+$I$9)</f>
        <v>0</v>
      </c>
      <c r="I49" s="216">
        <f t="shared" ref="I49" si="6">ROUND((F49*H49),2)</f>
        <v>0</v>
      </c>
    </row>
    <row r="50" spans="1:9" s="264" customFormat="1" ht="67.5">
      <c r="A50" s="229" t="s">
        <v>353</v>
      </c>
      <c r="B50" s="246">
        <v>97121</v>
      </c>
      <c r="C50" s="137" t="s">
        <v>146</v>
      </c>
      <c r="D50" s="271" t="s">
        <v>349</v>
      </c>
      <c r="E50" s="267" t="s">
        <v>5</v>
      </c>
      <c r="F50" s="268">
        <f>F45</f>
        <v>12</v>
      </c>
      <c r="G50" s="269"/>
      <c r="H50" s="140">
        <f>G50*(1+$I$9)</f>
        <v>0</v>
      </c>
      <c r="I50" s="216">
        <f t="shared" ref="I50" si="7">ROUND((F50*H50),2)</f>
        <v>0</v>
      </c>
    </row>
    <row r="51" spans="1:9" s="264" customFormat="1">
      <c r="A51" s="442" t="s">
        <v>356</v>
      </c>
      <c r="B51" s="443"/>
      <c r="C51" s="443"/>
      <c r="D51" s="443"/>
      <c r="E51" s="443"/>
      <c r="F51" s="443"/>
      <c r="G51" s="443"/>
      <c r="H51" s="444"/>
      <c r="I51" s="265">
        <f>SUM(I42:I50)</f>
        <v>0</v>
      </c>
    </row>
    <row r="52" spans="1:9" s="289" customFormat="1">
      <c r="A52" s="284" t="s">
        <v>354</v>
      </c>
      <c r="B52" s="451" t="s">
        <v>280</v>
      </c>
      <c r="C52" s="452"/>
      <c r="D52" s="452"/>
      <c r="E52" s="452"/>
      <c r="F52" s="452"/>
      <c r="G52" s="452"/>
      <c r="H52" s="452"/>
      <c r="I52" s="453"/>
    </row>
    <row r="53" spans="1:9" s="149" customFormat="1" ht="22.5">
      <c r="A53" s="226" t="s">
        <v>355</v>
      </c>
      <c r="B53" s="226">
        <v>70070091</v>
      </c>
      <c r="C53" s="226" t="s">
        <v>142</v>
      </c>
      <c r="D53" s="219" t="s">
        <v>294</v>
      </c>
      <c r="E53" s="224" t="s">
        <v>5</v>
      </c>
      <c r="F53" s="256">
        <v>18</v>
      </c>
      <c r="G53" s="263"/>
      <c r="H53" s="140">
        <f>G53*(1+$I$9)</f>
        <v>0</v>
      </c>
      <c r="I53" s="216">
        <f t="shared" ref="I53" si="8">ROUND((F53*H53),2)</f>
        <v>0</v>
      </c>
    </row>
    <row r="54" spans="1:9" s="264" customFormat="1">
      <c r="A54" s="442" t="s">
        <v>357</v>
      </c>
      <c r="B54" s="443"/>
      <c r="C54" s="443"/>
      <c r="D54" s="443"/>
      <c r="E54" s="443"/>
      <c r="F54" s="443"/>
      <c r="G54" s="443"/>
      <c r="H54" s="444"/>
      <c r="I54" s="265">
        <f>SUM(I53)</f>
        <v>0</v>
      </c>
    </row>
    <row r="55" spans="1:9" ht="18" customHeight="1">
      <c r="A55" s="423" t="s">
        <v>315</v>
      </c>
      <c r="B55" s="424"/>
      <c r="C55" s="424"/>
      <c r="D55" s="424"/>
      <c r="E55" s="424"/>
      <c r="F55" s="424"/>
      <c r="G55" s="424"/>
      <c r="H55" s="425"/>
      <c r="I55" s="257">
        <f>I54+I51+I40+I31+I27+I21</f>
        <v>0</v>
      </c>
    </row>
    <row r="56" spans="1:9" s="134" customFormat="1" ht="16.5" customHeight="1">
      <c r="A56" s="460" t="s">
        <v>359</v>
      </c>
      <c r="B56" s="461"/>
      <c r="C56" s="461"/>
      <c r="D56" s="461"/>
      <c r="E56" s="461"/>
      <c r="F56" s="461"/>
      <c r="G56" s="461"/>
      <c r="H56" s="461"/>
      <c r="I56" s="462"/>
    </row>
    <row r="57" spans="1:9" s="134" customFormat="1" ht="16.5" customHeight="1">
      <c r="A57" s="460" t="s">
        <v>126</v>
      </c>
      <c r="B57" s="461"/>
      <c r="C57" s="461"/>
      <c r="D57" s="461"/>
      <c r="E57" s="461"/>
      <c r="F57" s="461"/>
      <c r="G57" s="461"/>
      <c r="H57" s="461"/>
      <c r="I57" s="462"/>
    </row>
    <row r="58" spans="1:9" s="134" customFormat="1" ht="33.75">
      <c r="A58" s="274" t="s">
        <v>1</v>
      </c>
      <c r="B58" s="274" t="s">
        <v>3</v>
      </c>
      <c r="C58" s="274" t="s">
        <v>15</v>
      </c>
      <c r="D58" s="274" t="s">
        <v>2</v>
      </c>
      <c r="E58" s="274" t="s">
        <v>316</v>
      </c>
      <c r="F58" s="275" t="s">
        <v>158</v>
      </c>
      <c r="G58" s="276" t="s">
        <v>159</v>
      </c>
      <c r="H58" s="276" t="s">
        <v>160</v>
      </c>
      <c r="I58" s="277" t="s">
        <v>161</v>
      </c>
    </row>
    <row r="59" spans="1:9" s="135" customFormat="1" ht="12" customHeight="1">
      <c r="A59" s="150">
        <v>1</v>
      </c>
      <c r="B59" s="169" t="s">
        <v>238</v>
      </c>
      <c r="C59" s="170"/>
      <c r="D59" s="170"/>
      <c r="E59" s="170"/>
      <c r="F59" s="253"/>
      <c r="G59" s="170"/>
      <c r="H59" s="220"/>
      <c r="I59" s="171"/>
    </row>
    <row r="60" spans="1:9" s="135" customFormat="1" ht="12" customHeight="1">
      <c r="A60" s="278" t="s">
        <v>4</v>
      </c>
      <c r="B60" s="279" t="s">
        <v>239</v>
      </c>
      <c r="C60" s="280"/>
      <c r="D60" s="280"/>
      <c r="E60" s="280"/>
      <c r="F60" s="281"/>
      <c r="G60" s="280"/>
      <c r="H60" s="282"/>
      <c r="I60" s="283"/>
    </row>
    <row r="61" spans="1:9" s="264" customFormat="1">
      <c r="A61" s="215" t="s">
        <v>162</v>
      </c>
      <c r="B61" s="214">
        <v>70020004</v>
      </c>
      <c r="C61" s="214" t="s">
        <v>142</v>
      </c>
      <c r="D61" s="222" t="s">
        <v>240</v>
      </c>
      <c r="E61" s="215" t="s">
        <v>6</v>
      </c>
      <c r="F61" s="254">
        <v>30</v>
      </c>
      <c r="G61" s="216"/>
      <c r="H61" s="140">
        <f>G61*(1+$I$9)</f>
        <v>0</v>
      </c>
      <c r="I61" s="216">
        <f>ROUND((F61*H61),2)</f>
        <v>0</v>
      </c>
    </row>
    <row r="62" spans="1:9" s="264" customFormat="1">
      <c r="A62" s="284" t="s">
        <v>123</v>
      </c>
      <c r="B62" s="451" t="s">
        <v>241</v>
      </c>
      <c r="C62" s="452"/>
      <c r="D62" s="452"/>
      <c r="E62" s="452"/>
      <c r="F62" s="452"/>
      <c r="G62" s="452"/>
      <c r="H62" s="452"/>
      <c r="I62" s="453"/>
    </row>
    <row r="63" spans="1:9" s="264" customFormat="1" ht="45">
      <c r="A63" s="215" t="s">
        <v>180</v>
      </c>
      <c r="B63" s="215">
        <v>97636</v>
      </c>
      <c r="C63" s="215" t="s">
        <v>146</v>
      </c>
      <c r="D63" s="219" t="s">
        <v>289</v>
      </c>
      <c r="E63" s="214" t="s">
        <v>140</v>
      </c>
      <c r="F63" s="254">
        <f>2*7.5</f>
        <v>15</v>
      </c>
      <c r="G63" s="216"/>
      <c r="H63" s="140">
        <f>G63*(1+$I$9)</f>
        <v>0</v>
      </c>
      <c r="I63" s="216">
        <f>ROUND((F63*H63),2)</f>
        <v>0</v>
      </c>
    </row>
    <row r="64" spans="1:9" s="264" customFormat="1">
      <c r="A64" s="284" t="s">
        <v>124</v>
      </c>
      <c r="B64" s="451" t="s">
        <v>242</v>
      </c>
      <c r="C64" s="452"/>
      <c r="D64" s="452"/>
      <c r="E64" s="452"/>
      <c r="F64" s="452"/>
      <c r="G64" s="452"/>
      <c r="H64" s="452"/>
      <c r="I64" s="453"/>
    </row>
    <row r="65" spans="1:9" s="264" customFormat="1" ht="67.5">
      <c r="A65" s="215" t="s">
        <v>220</v>
      </c>
      <c r="B65" s="215">
        <v>100981</v>
      </c>
      <c r="C65" s="215" t="s">
        <v>146</v>
      </c>
      <c r="D65" s="219" t="s">
        <v>243</v>
      </c>
      <c r="E65" s="215" t="s">
        <v>287</v>
      </c>
      <c r="F65" s="255">
        <f>(F63*0.15)</f>
        <v>2.25</v>
      </c>
      <c r="G65" s="216"/>
      <c r="H65" s="140">
        <f>G65*(1+$I$9)</f>
        <v>0</v>
      </c>
      <c r="I65" s="216">
        <f>ROUND((F65*H65),2)</f>
        <v>0</v>
      </c>
    </row>
    <row r="66" spans="1:9" s="264" customFormat="1" ht="45">
      <c r="A66" s="215" t="s">
        <v>224</v>
      </c>
      <c r="B66" s="215">
        <v>97914</v>
      </c>
      <c r="C66" s="215" t="s">
        <v>146</v>
      </c>
      <c r="D66" s="219" t="s">
        <v>290</v>
      </c>
      <c r="E66" s="215" t="s">
        <v>288</v>
      </c>
      <c r="F66" s="254">
        <f>F65*20</f>
        <v>45</v>
      </c>
      <c r="G66" s="216"/>
      <c r="H66" s="140">
        <f>G66*(1+$I$9)</f>
        <v>0</v>
      </c>
      <c r="I66" s="216">
        <f>ROUND((F66*H66),2)</f>
        <v>0</v>
      </c>
    </row>
    <row r="67" spans="1:9" s="264" customFormat="1" ht="22.5">
      <c r="A67" s="215" t="s">
        <v>225</v>
      </c>
      <c r="B67" s="215" t="s">
        <v>282</v>
      </c>
      <c r="C67" s="215" t="s">
        <v>167</v>
      </c>
      <c r="D67" s="219" t="s">
        <v>244</v>
      </c>
      <c r="E67" s="215" t="s">
        <v>245</v>
      </c>
      <c r="F67" s="254">
        <f>F65*2.4</f>
        <v>5.3999999999999995</v>
      </c>
      <c r="G67" s="217"/>
      <c r="H67" s="140">
        <f>G67*(1+$I$9)</f>
        <v>0</v>
      </c>
      <c r="I67" s="216">
        <f>ROUND((F67*H67),2)</f>
        <v>0</v>
      </c>
    </row>
    <row r="68" spans="1:9" s="264" customFormat="1" ht="12.75" customHeight="1">
      <c r="A68" s="442" t="str">
        <f>CONCATENATE("SUBTOTAL ",A59)</f>
        <v>SUBTOTAL 1</v>
      </c>
      <c r="B68" s="443"/>
      <c r="C68" s="443"/>
      <c r="D68" s="443"/>
      <c r="E68" s="443"/>
      <c r="F68" s="443"/>
      <c r="G68" s="443"/>
      <c r="H68" s="444"/>
      <c r="I68" s="265">
        <f>SUM(I61:I67)</f>
        <v>0</v>
      </c>
    </row>
    <row r="69" spans="1:9" s="264" customFormat="1">
      <c r="A69" s="262">
        <v>2</v>
      </c>
      <c r="B69" s="448" t="s">
        <v>246</v>
      </c>
      <c r="C69" s="449"/>
      <c r="D69" s="449"/>
      <c r="E69" s="449"/>
      <c r="F69" s="449"/>
      <c r="G69" s="449"/>
      <c r="H69" s="449"/>
      <c r="I69" s="450"/>
    </row>
    <row r="70" spans="1:9" s="264" customFormat="1">
      <c r="A70" s="284" t="s">
        <v>8</v>
      </c>
      <c r="B70" s="451" t="s">
        <v>247</v>
      </c>
      <c r="C70" s="452"/>
      <c r="D70" s="452"/>
      <c r="E70" s="452"/>
      <c r="F70" s="452"/>
      <c r="G70" s="452"/>
      <c r="H70" s="452"/>
      <c r="I70" s="453"/>
    </row>
    <row r="71" spans="1:9" s="264" customFormat="1" ht="33.75">
      <c r="A71" s="215" t="s">
        <v>248</v>
      </c>
      <c r="B71" s="215">
        <v>70030060</v>
      </c>
      <c r="C71" s="215" t="s">
        <v>142</v>
      </c>
      <c r="D71" s="219" t="s">
        <v>249</v>
      </c>
      <c r="E71" s="215" t="s">
        <v>287</v>
      </c>
      <c r="F71" s="254">
        <f>(F63*1.3)+(2.5*2*1.3)</f>
        <v>26</v>
      </c>
      <c r="G71" s="217"/>
      <c r="H71" s="140">
        <f>G71*(1+$I$9)</f>
        <v>0</v>
      </c>
      <c r="I71" s="216">
        <f>ROUND((F71*H71),2)</f>
        <v>0</v>
      </c>
    </row>
    <row r="72" spans="1:9" s="264" customFormat="1">
      <c r="A72" s="284" t="s">
        <v>9</v>
      </c>
      <c r="B72" s="451" t="s">
        <v>250</v>
      </c>
      <c r="C72" s="452"/>
      <c r="D72" s="452"/>
      <c r="E72" s="452"/>
      <c r="F72" s="452"/>
      <c r="G72" s="452"/>
      <c r="H72" s="452"/>
      <c r="I72" s="453"/>
    </row>
    <row r="73" spans="1:9" s="264" customFormat="1" ht="45">
      <c r="A73" s="215" t="s">
        <v>251</v>
      </c>
      <c r="B73" s="215">
        <v>70030020</v>
      </c>
      <c r="C73" s="215" t="s">
        <v>142</v>
      </c>
      <c r="D73" s="219" t="s">
        <v>252</v>
      </c>
      <c r="E73" s="215" t="s">
        <v>287</v>
      </c>
      <c r="F73" s="254">
        <f>F71-(2*1.2*0.4)</f>
        <v>25.04</v>
      </c>
      <c r="G73" s="217"/>
      <c r="H73" s="140">
        <f>G73*(1+$I$9)</f>
        <v>0</v>
      </c>
      <c r="I73" s="216">
        <f>ROUND((F73*H73),2)</f>
        <v>0</v>
      </c>
    </row>
    <row r="74" spans="1:9" s="264" customFormat="1" ht="12.75" customHeight="1">
      <c r="A74" s="442" t="str">
        <f>CONCATENATE("SUBTOTAL ",A69)</f>
        <v>SUBTOTAL 2</v>
      </c>
      <c r="B74" s="443"/>
      <c r="C74" s="443"/>
      <c r="D74" s="443"/>
      <c r="E74" s="443"/>
      <c r="F74" s="443"/>
      <c r="G74" s="443"/>
      <c r="H74" s="444"/>
      <c r="I74" s="265">
        <f>SUM(I71:I73)</f>
        <v>0</v>
      </c>
    </row>
    <row r="75" spans="1:9" s="264" customFormat="1">
      <c r="A75" s="262">
        <v>3</v>
      </c>
      <c r="B75" s="448" t="s">
        <v>342</v>
      </c>
      <c r="C75" s="449"/>
      <c r="D75" s="449"/>
      <c r="E75" s="449"/>
      <c r="F75" s="449"/>
      <c r="G75" s="449"/>
      <c r="H75" s="449"/>
      <c r="I75" s="450"/>
    </row>
    <row r="76" spans="1:9" s="264" customFormat="1">
      <c r="A76" s="284" t="s">
        <v>135</v>
      </c>
      <c r="B76" s="451" t="s">
        <v>253</v>
      </c>
      <c r="C76" s="452"/>
      <c r="D76" s="452"/>
      <c r="E76" s="452"/>
      <c r="F76" s="452"/>
      <c r="G76" s="452"/>
      <c r="H76" s="452"/>
      <c r="I76" s="453"/>
    </row>
    <row r="77" spans="1:9" s="264" customFormat="1" ht="67.5">
      <c r="A77" s="215" t="s">
        <v>254</v>
      </c>
      <c r="B77" s="215">
        <v>7042</v>
      </c>
      <c r="C77" s="215" t="s">
        <v>146</v>
      </c>
      <c r="D77" s="219" t="s">
        <v>291</v>
      </c>
      <c r="E77" s="215" t="s">
        <v>255</v>
      </c>
      <c r="F77" s="254">
        <v>2</v>
      </c>
      <c r="G77" s="216"/>
      <c r="H77" s="140">
        <f>G77*(1+$I$9)</f>
        <v>0</v>
      </c>
      <c r="I77" s="216">
        <f>ROUND((F77*H77),2)</f>
        <v>0</v>
      </c>
    </row>
    <row r="78" spans="1:9" s="264" customFormat="1" ht="12.75" customHeight="1">
      <c r="A78" s="442" t="str">
        <f>CONCATENATE("SUBTOTAL ",A75)</f>
        <v>SUBTOTAL 3</v>
      </c>
      <c r="B78" s="443"/>
      <c r="C78" s="443"/>
      <c r="D78" s="443"/>
      <c r="E78" s="443"/>
      <c r="F78" s="443"/>
      <c r="G78" s="443"/>
      <c r="H78" s="444"/>
      <c r="I78" s="265">
        <f>SUM(I77)</f>
        <v>0</v>
      </c>
    </row>
    <row r="79" spans="1:9" s="264" customFormat="1">
      <c r="A79" s="262">
        <v>4</v>
      </c>
      <c r="B79" s="448" t="s">
        <v>256</v>
      </c>
      <c r="C79" s="449"/>
      <c r="D79" s="449"/>
      <c r="E79" s="449"/>
      <c r="F79" s="449"/>
      <c r="G79" s="449"/>
      <c r="H79" s="449"/>
      <c r="I79" s="450"/>
    </row>
    <row r="80" spans="1:9" s="264" customFormat="1">
      <c r="A80" s="284" t="s">
        <v>136</v>
      </c>
      <c r="B80" s="451" t="s">
        <v>257</v>
      </c>
      <c r="C80" s="452"/>
      <c r="D80" s="452"/>
      <c r="E80" s="452"/>
      <c r="F80" s="452"/>
      <c r="G80" s="452"/>
      <c r="H80" s="452"/>
      <c r="I80" s="453"/>
    </row>
    <row r="81" spans="1:9" s="264" customFormat="1" ht="56.25">
      <c r="A81" s="214" t="s">
        <v>258</v>
      </c>
      <c r="B81" s="215">
        <v>95995</v>
      </c>
      <c r="C81" s="215" t="s">
        <v>146</v>
      </c>
      <c r="D81" s="219" t="s">
        <v>259</v>
      </c>
      <c r="E81" s="214" t="s">
        <v>287</v>
      </c>
      <c r="F81" s="255">
        <f>F63*0.05</f>
        <v>0.75</v>
      </c>
      <c r="G81" s="217"/>
      <c r="H81" s="140">
        <f t="shared" ref="H81:H86" si="9">G81*(1+$I$9)</f>
        <v>0</v>
      </c>
      <c r="I81" s="216">
        <f>ROUND((F81*H81),2)</f>
        <v>0</v>
      </c>
    </row>
    <row r="82" spans="1:9" s="264" customFormat="1" ht="22.5">
      <c r="A82" s="214" t="s">
        <v>260</v>
      </c>
      <c r="B82" s="215">
        <v>100985</v>
      </c>
      <c r="C82" s="215" t="s">
        <v>146</v>
      </c>
      <c r="D82" s="219" t="s">
        <v>261</v>
      </c>
      <c r="E82" s="215" t="s">
        <v>287</v>
      </c>
      <c r="F82" s="254">
        <f>F81</f>
        <v>0.75</v>
      </c>
      <c r="G82" s="216"/>
      <c r="H82" s="140">
        <f t="shared" si="9"/>
        <v>0</v>
      </c>
      <c r="I82" s="216">
        <f t="shared" ref="I82:I86" si="10">ROUND((F82*H82),2)</f>
        <v>0</v>
      </c>
    </row>
    <row r="83" spans="1:9" s="264" customFormat="1" ht="45">
      <c r="A83" s="214" t="s">
        <v>262</v>
      </c>
      <c r="B83" s="215">
        <v>97914</v>
      </c>
      <c r="C83" s="215" t="s">
        <v>146</v>
      </c>
      <c r="D83" s="219" t="s">
        <v>263</v>
      </c>
      <c r="E83" s="215" t="s">
        <v>288</v>
      </c>
      <c r="F83" s="254">
        <f>F81*20</f>
        <v>15</v>
      </c>
      <c r="G83" s="216"/>
      <c r="H83" s="140">
        <f t="shared" si="9"/>
        <v>0</v>
      </c>
      <c r="I83" s="216">
        <f t="shared" si="10"/>
        <v>0</v>
      </c>
    </row>
    <row r="84" spans="1:9" s="264" customFormat="1">
      <c r="A84" s="214" t="s">
        <v>264</v>
      </c>
      <c r="B84" s="214" t="s">
        <v>283</v>
      </c>
      <c r="C84" s="214" t="s">
        <v>167</v>
      </c>
      <c r="D84" s="222" t="s">
        <v>265</v>
      </c>
      <c r="E84" s="214" t="s">
        <v>140</v>
      </c>
      <c r="F84" s="255">
        <f>F63</f>
        <v>15</v>
      </c>
      <c r="G84" s="216"/>
      <c r="H84" s="140">
        <f t="shared" si="9"/>
        <v>0</v>
      </c>
      <c r="I84" s="216">
        <f t="shared" si="10"/>
        <v>0</v>
      </c>
    </row>
    <row r="85" spans="1:9" s="264" customFormat="1" ht="22.5">
      <c r="A85" s="214" t="s">
        <v>266</v>
      </c>
      <c r="B85" s="214" t="s">
        <v>284</v>
      </c>
      <c r="C85" s="214" t="s">
        <v>167</v>
      </c>
      <c r="D85" s="222" t="s">
        <v>267</v>
      </c>
      <c r="E85" s="214" t="s">
        <v>286</v>
      </c>
      <c r="F85" s="255">
        <f>F84</f>
        <v>15</v>
      </c>
      <c r="G85" s="216"/>
      <c r="H85" s="140">
        <f t="shared" si="9"/>
        <v>0</v>
      </c>
      <c r="I85" s="216">
        <f t="shared" si="10"/>
        <v>0</v>
      </c>
    </row>
    <row r="86" spans="1:9" s="264" customFormat="1">
      <c r="A86" s="214" t="s">
        <v>268</v>
      </c>
      <c r="B86" s="214" t="s">
        <v>285</v>
      </c>
      <c r="C86" s="214" t="s">
        <v>167</v>
      </c>
      <c r="D86" s="222" t="s">
        <v>269</v>
      </c>
      <c r="E86" s="214" t="s">
        <v>287</v>
      </c>
      <c r="F86" s="255">
        <f>F63*0.1</f>
        <v>1.5</v>
      </c>
      <c r="G86" s="216"/>
      <c r="H86" s="140">
        <f t="shared" si="9"/>
        <v>0</v>
      </c>
      <c r="I86" s="216">
        <f t="shared" si="10"/>
        <v>0</v>
      </c>
    </row>
    <row r="87" spans="1:9" s="264" customFormat="1">
      <c r="A87" s="442" t="str">
        <f>CONCATENATE("SUBTOTAL ",A79)</f>
        <v>SUBTOTAL 4</v>
      </c>
      <c r="B87" s="443"/>
      <c r="C87" s="443"/>
      <c r="D87" s="443"/>
      <c r="E87" s="443"/>
      <c r="F87" s="443"/>
      <c r="G87" s="443"/>
      <c r="H87" s="444"/>
      <c r="I87" s="265">
        <f>SUM(I81:I86)</f>
        <v>0</v>
      </c>
    </row>
    <row r="88" spans="1:9" s="264" customFormat="1">
      <c r="A88" s="262">
        <v>5</v>
      </c>
      <c r="B88" s="448" t="s">
        <v>364</v>
      </c>
      <c r="C88" s="449"/>
      <c r="D88" s="449"/>
      <c r="E88" s="449"/>
      <c r="F88" s="449"/>
      <c r="G88" s="449"/>
      <c r="H88" s="449"/>
      <c r="I88" s="450"/>
    </row>
    <row r="89" spans="1:9" s="288" customFormat="1">
      <c r="A89" s="284" t="s">
        <v>137</v>
      </c>
      <c r="B89" s="451" t="s">
        <v>365</v>
      </c>
      <c r="C89" s="452"/>
      <c r="D89" s="452"/>
      <c r="E89" s="452"/>
      <c r="F89" s="452"/>
      <c r="G89" s="452"/>
      <c r="H89" s="452"/>
      <c r="I89" s="453"/>
    </row>
    <row r="90" spans="1:9" s="264" customFormat="1" ht="22.5">
      <c r="A90" s="229" t="s">
        <v>270</v>
      </c>
      <c r="B90" s="230">
        <v>70070039</v>
      </c>
      <c r="C90" s="137" t="s">
        <v>142</v>
      </c>
      <c r="D90" s="259" t="s">
        <v>367</v>
      </c>
      <c r="E90" s="252" t="s">
        <v>6</v>
      </c>
      <c r="F90" s="260">
        <v>2</v>
      </c>
      <c r="G90" s="261"/>
      <c r="H90" s="140">
        <f>G90*(1+$I$9)</f>
        <v>0</v>
      </c>
      <c r="I90" s="216">
        <f>ROUND((F90*H90),2)</f>
        <v>0</v>
      </c>
    </row>
    <row r="91" spans="1:9" s="264" customFormat="1" ht="22.5">
      <c r="A91" s="229" t="s">
        <v>271</v>
      </c>
      <c r="B91" s="230">
        <v>70070142</v>
      </c>
      <c r="C91" s="137" t="s">
        <v>142</v>
      </c>
      <c r="D91" s="259" t="s">
        <v>368</v>
      </c>
      <c r="E91" s="215" t="s">
        <v>287</v>
      </c>
      <c r="F91" s="260">
        <f>1.99*1.19*0.39</f>
        <v>0.92355900000000002</v>
      </c>
      <c r="G91" s="261"/>
      <c r="H91" s="140">
        <f>G91*(1+$I$9)</f>
        <v>0</v>
      </c>
      <c r="I91" s="216">
        <f>ROUND((F91*H91),2)</f>
        <v>0</v>
      </c>
    </row>
    <row r="92" spans="1:9" s="264" customFormat="1" ht="33.75">
      <c r="A92" s="229" t="s">
        <v>272</v>
      </c>
      <c r="B92" s="230">
        <v>70110024</v>
      </c>
      <c r="C92" s="137" t="s">
        <v>142</v>
      </c>
      <c r="D92" s="259" t="s">
        <v>155</v>
      </c>
      <c r="E92" s="252" t="s">
        <v>140</v>
      </c>
      <c r="F92" s="260">
        <f>((1.19*2)+(1.99*2))*0.39</f>
        <v>2.4803999999999999</v>
      </c>
      <c r="G92" s="261"/>
      <c r="H92" s="140">
        <f>G92*(1+$I$9)</f>
        <v>0</v>
      </c>
      <c r="I92" s="216">
        <f>ROUND((F92*H92),2)</f>
        <v>0</v>
      </c>
    </row>
    <row r="93" spans="1:9" s="288" customFormat="1">
      <c r="A93" s="284" t="s">
        <v>138</v>
      </c>
      <c r="B93" s="451" t="s">
        <v>366</v>
      </c>
      <c r="C93" s="452"/>
      <c r="D93" s="452"/>
      <c r="E93" s="452"/>
      <c r="F93" s="452"/>
      <c r="G93" s="452"/>
      <c r="H93" s="452"/>
      <c r="I93" s="453"/>
    </row>
    <row r="94" spans="1:9" s="264" customFormat="1" ht="22.5">
      <c r="A94" s="229" t="s">
        <v>279</v>
      </c>
      <c r="B94" s="230">
        <v>70110013</v>
      </c>
      <c r="C94" s="137" t="s">
        <v>142</v>
      </c>
      <c r="D94" s="259" t="s">
        <v>395</v>
      </c>
      <c r="E94" s="252" t="s">
        <v>140</v>
      </c>
      <c r="F94" s="260">
        <f>(1.6+0.6+0.6)*1.8</f>
        <v>5.0400000000000009</v>
      </c>
      <c r="G94" s="261"/>
      <c r="H94" s="140">
        <f>G94*(1+$I$9)</f>
        <v>0</v>
      </c>
      <c r="I94" s="216">
        <f>ROUND((F94*H94),2)</f>
        <v>0</v>
      </c>
    </row>
    <row r="95" spans="1:9" s="288" customFormat="1">
      <c r="A95" s="284" t="s">
        <v>354</v>
      </c>
      <c r="B95" s="451" t="s">
        <v>371</v>
      </c>
      <c r="C95" s="452"/>
      <c r="D95" s="452"/>
      <c r="E95" s="452"/>
      <c r="F95" s="452"/>
      <c r="G95" s="452"/>
      <c r="H95" s="452"/>
      <c r="I95" s="453"/>
    </row>
    <row r="96" spans="1:9" s="264" customFormat="1">
      <c r="A96" s="229" t="s">
        <v>355</v>
      </c>
      <c r="B96" s="230">
        <v>70070126</v>
      </c>
      <c r="C96" s="137" t="s">
        <v>142</v>
      </c>
      <c r="D96" s="259" t="s">
        <v>369</v>
      </c>
      <c r="E96" s="252" t="s">
        <v>140</v>
      </c>
      <c r="F96" s="260">
        <f>(1.6*0.95)+(1.6+1.6+0.95+0.95)*0.1</f>
        <v>2.0300000000000002</v>
      </c>
      <c r="G96" s="261"/>
      <c r="H96" s="140">
        <f>G96*(1+$I$9)</f>
        <v>0</v>
      </c>
      <c r="I96" s="216">
        <f>ROUND((F96*H96),2)</f>
        <v>0</v>
      </c>
    </row>
    <row r="97" spans="1:9" s="264" customFormat="1" ht="22.5">
      <c r="A97" s="229" t="s">
        <v>370</v>
      </c>
      <c r="B97" s="230">
        <v>70070142</v>
      </c>
      <c r="C97" s="137" t="s">
        <v>142</v>
      </c>
      <c r="D97" s="259" t="s">
        <v>368</v>
      </c>
      <c r="E97" s="215" t="s">
        <v>287</v>
      </c>
      <c r="F97" s="260">
        <f>1.6*0.95*0.1</f>
        <v>0.15200000000000002</v>
      </c>
      <c r="G97" s="261"/>
      <c r="H97" s="140">
        <f>G97*(1+$I$9)</f>
        <v>0</v>
      </c>
      <c r="I97" s="216">
        <f>ROUND((F97*H97),2)</f>
        <v>0</v>
      </c>
    </row>
    <row r="98" spans="1:9" s="264" customFormat="1" ht="11.25" customHeight="1">
      <c r="A98" s="442" t="s">
        <v>356</v>
      </c>
      <c r="B98" s="443"/>
      <c r="C98" s="443"/>
      <c r="D98" s="443"/>
      <c r="E98" s="443"/>
      <c r="F98" s="443"/>
      <c r="G98" s="443"/>
      <c r="H98" s="444"/>
      <c r="I98" s="265">
        <f>SUM(I89:I97)</f>
        <v>0</v>
      </c>
    </row>
    <row r="99" spans="1:9" s="264" customFormat="1">
      <c r="A99" s="262">
        <v>6</v>
      </c>
      <c r="B99" s="448" t="s">
        <v>360</v>
      </c>
      <c r="C99" s="449"/>
      <c r="D99" s="449"/>
      <c r="E99" s="449"/>
      <c r="F99" s="449"/>
      <c r="G99" s="449"/>
      <c r="H99" s="449"/>
      <c r="I99" s="450"/>
    </row>
    <row r="100" spans="1:9" s="288" customFormat="1">
      <c r="A100" s="284" t="s">
        <v>139</v>
      </c>
      <c r="B100" s="451" t="s">
        <v>361</v>
      </c>
      <c r="C100" s="452"/>
      <c r="D100" s="452"/>
      <c r="E100" s="452"/>
      <c r="F100" s="452"/>
      <c r="G100" s="452"/>
      <c r="H100" s="452"/>
      <c r="I100" s="453"/>
    </row>
    <row r="101" spans="1:9" s="264" customFormat="1" ht="22.5">
      <c r="A101" s="229" t="s">
        <v>299</v>
      </c>
      <c r="B101" s="188" t="s">
        <v>396</v>
      </c>
      <c r="C101" s="137" t="s">
        <v>142</v>
      </c>
      <c r="D101" s="266" t="s">
        <v>397</v>
      </c>
      <c r="E101" s="267" t="s">
        <v>5</v>
      </c>
      <c r="F101" s="268">
        <v>2</v>
      </c>
      <c r="G101" s="269"/>
      <c r="H101" s="140">
        <f t="shared" ref="H101:H109" si="11">G101*(1+$I$9)</f>
        <v>0</v>
      </c>
      <c r="I101" s="216">
        <f t="shared" ref="I101:I117" si="12">ROUND((F101*H101),2)</f>
        <v>0</v>
      </c>
    </row>
    <row r="102" spans="1:9" s="264" customFormat="1" ht="22.5">
      <c r="A102" s="229" t="s">
        <v>300</v>
      </c>
      <c r="B102" s="230">
        <v>12428</v>
      </c>
      <c r="C102" s="137" t="s">
        <v>146</v>
      </c>
      <c r="D102" s="259" t="s">
        <v>398</v>
      </c>
      <c r="E102" s="252" t="s">
        <v>5</v>
      </c>
      <c r="F102" s="260">
        <v>2</v>
      </c>
      <c r="G102" s="261"/>
      <c r="H102" s="140">
        <f t="shared" si="11"/>
        <v>0</v>
      </c>
      <c r="I102" s="216">
        <f t="shared" si="12"/>
        <v>0</v>
      </c>
    </row>
    <row r="103" spans="1:9" s="264" customFormat="1" ht="22.5">
      <c r="A103" s="229" t="s">
        <v>301</v>
      </c>
      <c r="B103" s="230" t="s">
        <v>147</v>
      </c>
      <c r="C103" s="137" t="s">
        <v>142</v>
      </c>
      <c r="D103" s="259" t="s">
        <v>405</v>
      </c>
      <c r="E103" s="252" t="s">
        <v>5</v>
      </c>
      <c r="F103" s="260">
        <v>3</v>
      </c>
      <c r="G103" s="261"/>
      <c r="H103" s="140">
        <f t="shared" si="11"/>
        <v>0</v>
      </c>
      <c r="I103" s="216">
        <f t="shared" si="12"/>
        <v>0</v>
      </c>
    </row>
    <row r="104" spans="1:9" s="294" customFormat="1" ht="22.5">
      <c r="A104" s="229" t="s">
        <v>302</v>
      </c>
      <c r="B104" s="230" t="s">
        <v>413</v>
      </c>
      <c r="C104" s="137" t="s">
        <v>167</v>
      </c>
      <c r="D104" s="293" t="s">
        <v>414</v>
      </c>
      <c r="E104" s="252" t="s">
        <v>5</v>
      </c>
      <c r="F104" s="260">
        <v>3</v>
      </c>
      <c r="G104" s="261"/>
      <c r="H104" s="140">
        <f t="shared" si="11"/>
        <v>0</v>
      </c>
      <c r="I104" s="217">
        <f t="shared" si="12"/>
        <v>0</v>
      </c>
    </row>
    <row r="105" spans="1:9" s="264" customFormat="1" ht="22.5">
      <c r="A105" s="229" t="s">
        <v>303</v>
      </c>
      <c r="B105" s="230">
        <v>3266</v>
      </c>
      <c r="C105" s="137" t="s">
        <v>146</v>
      </c>
      <c r="D105" s="259" t="s">
        <v>406</v>
      </c>
      <c r="E105" s="252" t="s">
        <v>5</v>
      </c>
      <c r="F105" s="260">
        <v>2</v>
      </c>
      <c r="G105" s="261"/>
      <c r="H105" s="140">
        <f t="shared" si="11"/>
        <v>0</v>
      </c>
      <c r="I105" s="216">
        <f t="shared" si="12"/>
        <v>0</v>
      </c>
    </row>
    <row r="106" spans="1:9" s="294" customFormat="1" ht="22.5">
      <c r="A106" s="229" t="s">
        <v>304</v>
      </c>
      <c r="B106" s="230" t="s">
        <v>213</v>
      </c>
      <c r="C106" s="152" t="s">
        <v>167</v>
      </c>
      <c r="D106" s="295" t="s">
        <v>415</v>
      </c>
      <c r="E106" s="252" t="s">
        <v>5</v>
      </c>
      <c r="F106" s="260">
        <v>1</v>
      </c>
      <c r="G106" s="261"/>
      <c r="H106" s="140">
        <f t="shared" si="11"/>
        <v>0</v>
      </c>
      <c r="I106" s="217">
        <f t="shared" si="12"/>
        <v>0</v>
      </c>
    </row>
    <row r="107" spans="1:9" s="264" customFormat="1" ht="22.5">
      <c r="A107" s="229" t="s">
        <v>305</v>
      </c>
      <c r="B107" s="230">
        <v>771</v>
      </c>
      <c r="C107" s="137" t="s">
        <v>146</v>
      </c>
      <c r="D107" s="259" t="s">
        <v>407</v>
      </c>
      <c r="E107" s="252" t="s">
        <v>5</v>
      </c>
      <c r="F107" s="260">
        <v>1</v>
      </c>
      <c r="G107" s="261"/>
      <c r="H107" s="140">
        <f t="shared" si="11"/>
        <v>0</v>
      </c>
      <c r="I107" s="216">
        <f>ROUND((F107*H107),2)</f>
        <v>0</v>
      </c>
    </row>
    <row r="108" spans="1:9" s="264" customFormat="1" ht="22.5">
      <c r="A108" s="229" t="s">
        <v>306</v>
      </c>
      <c r="B108" s="230" t="s">
        <v>151</v>
      </c>
      <c r="C108" s="137" t="s">
        <v>142</v>
      </c>
      <c r="D108" s="259" t="s">
        <v>408</v>
      </c>
      <c r="E108" s="252" t="s">
        <v>5</v>
      </c>
      <c r="F108" s="260">
        <v>1</v>
      </c>
      <c r="G108" s="261"/>
      <c r="H108" s="140">
        <f t="shared" si="11"/>
        <v>0</v>
      </c>
      <c r="I108" s="216">
        <f>ROUND((F108*H108),2)</f>
        <v>0</v>
      </c>
    </row>
    <row r="109" spans="1:9" s="264" customFormat="1" ht="22.5">
      <c r="A109" s="229" t="s">
        <v>307</v>
      </c>
      <c r="B109" s="230" t="s">
        <v>153</v>
      </c>
      <c r="C109" s="137" t="s">
        <v>142</v>
      </c>
      <c r="D109" s="259" t="s">
        <v>409</v>
      </c>
      <c r="E109" s="252" t="s">
        <v>6</v>
      </c>
      <c r="F109" s="260">
        <v>6</v>
      </c>
      <c r="G109" s="261"/>
      <c r="H109" s="140">
        <f t="shared" si="11"/>
        <v>0</v>
      </c>
      <c r="I109" s="216">
        <f>ROUND((F109*H109),2)</f>
        <v>0</v>
      </c>
    </row>
    <row r="110" spans="1:9" s="288" customFormat="1">
      <c r="A110" s="284" t="s">
        <v>372</v>
      </c>
      <c r="B110" s="451" t="s">
        <v>362</v>
      </c>
      <c r="C110" s="452"/>
      <c r="D110" s="452"/>
      <c r="E110" s="452"/>
      <c r="F110" s="452"/>
      <c r="G110" s="452"/>
      <c r="H110" s="452"/>
      <c r="I110" s="453"/>
    </row>
    <row r="111" spans="1:9" s="264" customFormat="1" ht="22.5">
      <c r="A111" s="229" t="s">
        <v>373</v>
      </c>
      <c r="B111" s="230">
        <v>3825</v>
      </c>
      <c r="C111" s="137" t="s">
        <v>146</v>
      </c>
      <c r="D111" s="291" t="s">
        <v>399</v>
      </c>
      <c r="E111" s="252" t="s">
        <v>5</v>
      </c>
      <c r="F111" s="260">
        <v>2</v>
      </c>
      <c r="G111" s="292"/>
      <c r="H111" s="140">
        <f>G111*(1+$I$9)</f>
        <v>0</v>
      </c>
      <c r="I111" s="216">
        <f t="shared" si="12"/>
        <v>0</v>
      </c>
    </row>
    <row r="112" spans="1:9" s="264" customFormat="1" ht="22.5">
      <c r="A112" s="229" t="s">
        <v>374</v>
      </c>
      <c r="B112" s="230">
        <v>3837</v>
      </c>
      <c r="C112" s="137" t="s">
        <v>146</v>
      </c>
      <c r="D112" s="334" t="s">
        <v>400</v>
      </c>
      <c r="E112" s="267" t="s">
        <v>5</v>
      </c>
      <c r="F112" s="268">
        <v>2</v>
      </c>
      <c r="G112" s="290"/>
      <c r="H112" s="140">
        <f>G112*(1+$I$9)</f>
        <v>0</v>
      </c>
      <c r="I112" s="216">
        <f t="shared" ref="I112" si="13">ROUND((F112*H112),2)</f>
        <v>0</v>
      </c>
    </row>
    <row r="113" spans="1:9" s="264" customFormat="1" ht="33.75">
      <c r="A113" s="229" t="s">
        <v>375</v>
      </c>
      <c r="B113" s="230">
        <v>11378</v>
      </c>
      <c r="C113" s="137" t="s">
        <v>146</v>
      </c>
      <c r="D113" s="259" t="s">
        <v>401</v>
      </c>
      <c r="E113" s="252" t="s">
        <v>5</v>
      </c>
      <c r="F113" s="260">
        <v>2</v>
      </c>
      <c r="G113" s="261"/>
      <c r="H113" s="140">
        <f>G113*(1+$I$9)</f>
        <v>0</v>
      </c>
      <c r="I113" s="216">
        <f t="shared" si="12"/>
        <v>0</v>
      </c>
    </row>
    <row r="114" spans="1:9" s="264" customFormat="1" ht="33.75">
      <c r="A114" s="229" t="s">
        <v>402</v>
      </c>
      <c r="B114" s="272">
        <v>36378</v>
      </c>
      <c r="C114" s="137" t="s">
        <v>146</v>
      </c>
      <c r="D114" s="273" t="s">
        <v>347</v>
      </c>
      <c r="E114" s="252" t="s">
        <v>6</v>
      </c>
      <c r="F114" s="260">
        <f>10*2</f>
        <v>20</v>
      </c>
      <c r="G114" s="269"/>
      <c r="H114" s="140">
        <f>G114*(1+$I$9)</f>
        <v>0</v>
      </c>
      <c r="I114" s="216">
        <f>ROUND((F114*H114),2)</f>
        <v>0</v>
      </c>
    </row>
    <row r="115" spans="1:9" s="288" customFormat="1">
      <c r="A115" s="284" t="s">
        <v>69</v>
      </c>
      <c r="B115" s="451" t="s">
        <v>363</v>
      </c>
      <c r="C115" s="452"/>
      <c r="D115" s="452"/>
      <c r="E115" s="452"/>
      <c r="F115" s="452"/>
      <c r="G115" s="452"/>
      <c r="H115" s="452"/>
      <c r="I115" s="453"/>
    </row>
    <row r="116" spans="1:9" s="264" customFormat="1" ht="33.75">
      <c r="A116" s="229" t="s">
        <v>376</v>
      </c>
      <c r="B116" s="230" t="s">
        <v>148</v>
      </c>
      <c r="C116" s="137" t="s">
        <v>142</v>
      </c>
      <c r="D116" s="259" t="s">
        <v>410</v>
      </c>
      <c r="E116" s="252" t="s">
        <v>5</v>
      </c>
      <c r="F116" s="260">
        <v>2</v>
      </c>
      <c r="G116" s="261"/>
      <c r="H116" s="140">
        <f>G116*(1+$I$9)</f>
        <v>0</v>
      </c>
      <c r="I116" s="216">
        <f>ROUND((F116*H116),2)</f>
        <v>0</v>
      </c>
    </row>
    <row r="117" spans="1:9" s="264" customFormat="1" ht="33.75">
      <c r="A117" s="229" t="s">
        <v>377</v>
      </c>
      <c r="B117" s="230" t="s">
        <v>152</v>
      </c>
      <c r="C117" s="137" t="s">
        <v>142</v>
      </c>
      <c r="D117" s="259" t="s">
        <v>435</v>
      </c>
      <c r="E117" s="252" t="s">
        <v>5</v>
      </c>
      <c r="F117" s="260">
        <v>1</v>
      </c>
      <c r="G117" s="261"/>
      <c r="H117" s="140">
        <f>G117*(1+$I$9)</f>
        <v>0</v>
      </c>
      <c r="I117" s="216">
        <f t="shared" si="12"/>
        <v>0</v>
      </c>
    </row>
    <row r="118" spans="1:9" s="264" customFormat="1" ht="22.5">
      <c r="A118" s="229" t="s">
        <v>378</v>
      </c>
      <c r="B118" s="230" t="s">
        <v>150</v>
      </c>
      <c r="C118" s="137" t="s">
        <v>142</v>
      </c>
      <c r="D118" s="259" t="s">
        <v>411</v>
      </c>
      <c r="E118" s="252" t="s">
        <v>5</v>
      </c>
      <c r="F118" s="260">
        <v>1</v>
      </c>
      <c r="G118" s="261"/>
      <c r="H118" s="140">
        <f>G118*(1+$I$9)</f>
        <v>0</v>
      </c>
      <c r="I118" s="216">
        <f>ROUND((F118*H118),2)</f>
        <v>0</v>
      </c>
    </row>
    <row r="119" spans="1:9" s="264" customFormat="1" ht="33.75">
      <c r="A119" s="229" t="s">
        <v>379</v>
      </c>
      <c r="B119" s="230" t="s">
        <v>149</v>
      </c>
      <c r="C119" s="152" t="s">
        <v>142</v>
      </c>
      <c r="D119" s="258" t="s">
        <v>412</v>
      </c>
      <c r="E119" s="252" t="s">
        <v>5</v>
      </c>
      <c r="F119" s="260">
        <v>1</v>
      </c>
      <c r="G119" s="261"/>
      <c r="H119" s="140">
        <f>G119*(1+$I$9)</f>
        <v>0</v>
      </c>
      <c r="I119" s="216">
        <f>ROUND((F119*H119),2)</f>
        <v>0</v>
      </c>
    </row>
    <row r="120" spans="1:9" s="288" customFormat="1">
      <c r="A120" s="284" t="s">
        <v>70</v>
      </c>
      <c r="B120" s="451" t="s">
        <v>383</v>
      </c>
      <c r="C120" s="452"/>
      <c r="D120" s="452"/>
      <c r="E120" s="452"/>
      <c r="F120" s="452"/>
      <c r="G120" s="452"/>
      <c r="H120" s="452"/>
      <c r="I120" s="453"/>
    </row>
    <row r="121" spans="1:9" s="264" customFormat="1" ht="33.75">
      <c r="A121" s="229" t="s">
        <v>386</v>
      </c>
      <c r="B121" s="246" t="s">
        <v>384</v>
      </c>
      <c r="C121" s="137" t="s">
        <v>167</v>
      </c>
      <c r="D121" s="271" t="s">
        <v>385</v>
      </c>
      <c r="E121" s="267" t="s">
        <v>6</v>
      </c>
      <c r="F121" s="268">
        <f>F109</f>
        <v>6</v>
      </c>
      <c r="G121" s="269"/>
      <c r="H121" s="140">
        <f>G121*(1+$I$9)</f>
        <v>0</v>
      </c>
      <c r="I121" s="216">
        <f t="shared" ref="I121" si="14">ROUND((F121*H121),2)</f>
        <v>0</v>
      </c>
    </row>
    <row r="122" spans="1:9" s="288" customFormat="1">
      <c r="A122" s="284" t="s">
        <v>71</v>
      </c>
      <c r="B122" s="451" t="s">
        <v>352</v>
      </c>
      <c r="C122" s="452"/>
      <c r="D122" s="452"/>
      <c r="E122" s="452"/>
      <c r="F122" s="452"/>
      <c r="G122" s="452"/>
      <c r="H122" s="452"/>
      <c r="I122" s="453"/>
    </row>
    <row r="123" spans="1:9" s="264" customFormat="1" ht="79.5" customHeight="1">
      <c r="A123" s="229" t="s">
        <v>387</v>
      </c>
      <c r="B123" s="246">
        <v>105367</v>
      </c>
      <c r="C123" s="137" t="s">
        <v>146</v>
      </c>
      <c r="D123" s="271" t="s">
        <v>381</v>
      </c>
      <c r="E123" s="267" t="s">
        <v>5</v>
      </c>
      <c r="F123" s="268">
        <f>F113</f>
        <v>2</v>
      </c>
      <c r="G123" s="269"/>
      <c r="H123" s="140">
        <f>G123*(1+$I$9)</f>
        <v>0</v>
      </c>
      <c r="I123" s="216">
        <f t="shared" ref="I123:I126" si="15">ROUND((F123*H123),2)</f>
        <v>0</v>
      </c>
    </row>
    <row r="124" spans="1:9" s="264" customFormat="1" ht="79.5" customHeight="1">
      <c r="A124" s="229" t="s">
        <v>388</v>
      </c>
      <c r="B124" s="246">
        <v>105286</v>
      </c>
      <c r="C124" s="137" t="s">
        <v>146</v>
      </c>
      <c r="D124" s="271" t="s">
        <v>382</v>
      </c>
      <c r="E124" s="267" t="s">
        <v>5</v>
      </c>
      <c r="F124" s="268">
        <f>F111</f>
        <v>2</v>
      </c>
      <c r="G124" s="269"/>
      <c r="H124" s="140">
        <f>G124*(1+$I$9)</f>
        <v>0</v>
      </c>
      <c r="I124" s="216">
        <f t="shared" ref="I124" si="16">ROUND((F124*H124),2)</f>
        <v>0</v>
      </c>
    </row>
    <row r="125" spans="1:9" s="264" customFormat="1" ht="79.5" customHeight="1">
      <c r="A125" s="229" t="s">
        <v>389</v>
      </c>
      <c r="B125" s="246">
        <v>105290</v>
      </c>
      <c r="C125" s="137" t="s">
        <v>146</v>
      </c>
      <c r="D125" s="271" t="s">
        <v>403</v>
      </c>
      <c r="E125" s="267" t="s">
        <v>5</v>
      </c>
      <c r="F125" s="268">
        <f>F112</f>
        <v>2</v>
      </c>
      <c r="G125" s="269"/>
      <c r="H125" s="140">
        <f>G125*(1+$I$9)</f>
        <v>0</v>
      </c>
      <c r="I125" s="216">
        <f t="shared" ref="I125" si="17">ROUND((F125*H125),2)</f>
        <v>0</v>
      </c>
    </row>
    <row r="126" spans="1:9" s="264" customFormat="1" ht="67.5">
      <c r="A126" s="229" t="s">
        <v>404</v>
      </c>
      <c r="B126" s="246">
        <v>97121</v>
      </c>
      <c r="C126" s="137" t="s">
        <v>146</v>
      </c>
      <c r="D126" s="271" t="s">
        <v>349</v>
      </c>
      <c r="E126" s="267" t="s">
        <v>5</v>
      </c>
      <c r="F126" s="268">
        <f>F114</f>
        <v>20</v>
      </c>
      <c r="G126" s="269"/>
      <c r="H126" s="140">
        <f>G126*(1+$I$9)</f>
        <v>0</v>
      </c>
      <c r="I126" s="216">
        <f t="shared" si="15"/>
        <v>0</v>
      </c>
    </row>
    <row r="127" spans="1:9" s="288" customFormat="1" ht="11.25" customHeight="1">
      <c r="A127" s="284" t="s">
        <v>72</v>
      </c>
      <c r="B127" s="451" t="s">
        <v>390</v>
      </c>
      <c r="C127" s="452"/>
      <c r="D127" s="452"/>
      <c r="E127" s="452"/>
      <c r="F127" s="452"/>
      <c r="G127" s="452"/>
      <c r="H127" s="452"/>
      <c r="I127" s="453"/>
    </row>
    <row r="128" spans="1:9" s="264" customFormat="1" ht="22.5">
      <c r="A128" s="229" t="s">
        <v>391</v>
      </c>
      <c r="B128" s="246">
        <v>70140057</v>
      </c>
      <c r="C128" s="137" t="s">
        <v>142</v>
      </c>
      <c r="D128" s="271" t="s">
        <v>393</v>
      </c>
      <c r="E128" s="267" t="s">
        <v>5</v>
      </c>
      <c r="F128" s="268">
        <f>F116+F117</f>
        <v>3</v>
      </c>
      <c r="G128" s="269"/>
      <c r="H128" s="140">
        <f>G128*(1+$I$9)</f>
        <v>0</v>
      </c>
      <c r="I128" s="216">
        <f t="shared" ref="I128" si="18">ROUND((F128*H128),2)</f>
        <v>0</v>
      </c>
    </row>
    <row r="129" spans="1:9" s="264" customFormat="1" ht="22.5">
      <c r="A129" s="229" t="s">
        <v>392</v>
      </c>
      <c r="B129" s="246">
        <v>70140072</v>
      </c>
      <c r="C129" s="137" t="s">
        <v>142</v>
      </c>
      <c r="D129" s="271" t="s">
        <v>394</v>
      </c>
      <c r="E129" s="267" t="s">
        <v>5</v>
      </c>
      <c r="F129" s="268">
        <f>F119</f>
        <v>1</v>
      </c>
      <c r="G129" s="269"/>
      <c r="H129" s="140">
        <f>G129*(1+$I$9)</f>
        <v>0</v>
      </c>
      <c r="I129" s="216">
        <f t="shared" ref="I129" si="19">ROUND((F129*H129),2)</f>
        <v>0</v>
      </c>
    </row>
    <row r="130" spans="1:9" s="264" customFormat="1" ht="12.75" customHeight="1">
      <c r="A130" s="442" t="str">
        <f>CONCATENATE("SUBTOTAL ",A99)</f>
        <v>SUBTOTAL 6</v>
      </c>
      <c r="B130" s="443"/>
      <c r="C130" s="443"/>
      <c r="D130" s="443"/>
      <c r="E130" s="443"/>
      <c r="F130" s="443"/>
      <c r="G130" s="443"/>
      <c r="H130" s="444"/>
      <c r="I130" s="265">
        <f>SUM(I101:I129)</f>
        <v>0</v>
      </c>
    </row>
    <row r="131" spans="1:9" ht="18" customHeight="1">
      <c r="A131" s="423" t="s">
        <v>380</v>
      </c>
      <c r="B131" s="424"/>
      <c r="C131" s="424"/>
      <c r="D131" s="424"/>
      <c r="E131" s="424"/>
      <c r="F131" s="424"/>
      <c r="G131" s="424"/>
      <c r="H131" s="425"/>
      <c r="I131" s="257">
        <f>I130+I98+I87+I78+I74+I68</f>
        <v>0</v>
      </c>
    </row>
    <row r="132" spans="1:9" s="134" customFormat="1" ht="16.5" customHeight="1">
      <c r="A132" s="460" t="s">
        <v>127</v>
      </c>
      <c r="B132" s="461"/>
      <c r="C132" s="461"/>
      <c r="D132" s="461"/>
      <c r="E132" s="461"/>
      <c r="F132" s="461"/>
      <c r="G132" s="461"/>
      <c r="H132" s="461"/>
      <c r="I132" s="462"/>
    </row>
    <row r="133" spans="1:9" s="134" customFormat="1" ht="33.75">
      <c r="A133" s="274" t="s">
        <v>1</v>
      </c>
      <c r="B133" s="274" t="s">
        <v>3</v>
      </c>
      <c r="C133" s="274" t="s">
        <v>15</v>
      </c>
      <c r="D133" s="274" t="s">
        <v>2</v>
      </c>
      <c r="E133" s="274" t="s">
        <v>316</v>
      </c>
      <c r="F133" s="275" t="s">
        <v>158</v>
      </c>
      <c r="G133" s="276" t="s">
        <v>159</v>
      </c>
      <c r="H133" s="276" t="s">
        <v>160</v>
      </c>
      <c r="I133" s="277" t="s">
        <v>161</v>
      </c>
    </row>
    <row r="134" spans="1:9" s="135" customFormat="1" ht="12" customHeight="1">
      <c r="A134" s="150">
        <v>1</v>
      </c>
      <c r="B134" s="169" t="s">
        <v>238</v>
      </c>
      <c r="C134" s="170"/>
      <c r="D134" s="170"/>
      <c r="E134" s="170"/>
      <c r="F134" s="253"/>
      <c r="G134" s="170"/>
      <c r="H134" s="220"/>
      <c r="I134" s="171"/>
    </row>
    <row r="135" spans="1:9" s="135" customFormat="1" ht="12" customHeight="1">
      <c r="A135" s="278" t="s">
        <v>4</v>
      </c>
      <c r="B135" s="279" t="s">
        <v>239</v>
      </c>
      <c r="C135" s="280"/>
      <c r="D135" s="280"/>
      <c r="E135" s="280"/>
      <c r="F135" s="281"/>
      <c r="G135" s="280"/>
      <c r="H135" s="282"/>
      <c r="I135" s="283"/>
    </row>
    <row r="136" spans="1:9" s="264" customFormat="1">
      <c r="A136" s="215" t="s">
        <v>162</v>
      </c>
      <c r="B136" s="214">
        <v>70020004</v>
      </c>
      <c r="C136" s="214" t="s">
        <v>142</v>
      </c>
      <c r="D136" s="222" t="s">
        <v>240</v>
      </c>
      <c r="E136" s="215" t="s">
        <v>6</v>
      </c>
      <c r="F136" s="254">
        <v>30</v>
      </c>
      <c r="G136" s="216"/>
      <c r="H136" s="140">
        <f>G136*(1+$I$9)</f>
        <v>0</v>
      </c>
      <c r="I136" s="216">
        <f>ROUND((F136*H136),2)</f>
        <v>0</v>
      </c>
    </row>
    <row r="137" spans="1:9" s="264" customFormat="1">
      <c r="A137" s="284" t="s">
        <v>123</v>
      </c>
      <c r="B137" s="451" t="s">
        <v>241</v>
      </c>
      <c r="C137" s="452"/>
      <c r="D137" s="452"/>
      <c r="E137" s="452"/>
      <c r="F137" s="452"/>
      <c r="G137" s="452"/>
      <c r="H137" s="452"/>
      <c r="I137" s="453"/>
    </row>
    <row r="138" spans="1:9" s="264" customFormat="1" ht="45">
      <c r="A138" s="215" t="s">
        <v>180</v>
      </c>
      <c r="B138" s="215">
        <v>97636</v>
      </c>
      <c r="C138" s="215" t="s">
        <v>146</v>
      </c>
      <c r="D138" s="219" t="s">
        <v>289</v>
      </c>
      <c r="E138" s="214" t="s">
        <v>140</v>
      </c>
      <c r="F138" s="254">
        <f>2*7.5</f>
        <v>15</v>
      </c>
      <c r="G138" s="216"/>
      <c r="H138" s="140">
        <f>G138*(1+$I$9)</f>
        <v>0</v>
      </c>
      <c r="I138" s="216">
        <f>ROUND((F138*H138),2)</f>
        <v>0</v>
      </c>
    </row>
    <row r="139" spans="1:9" s="264" customFormat="1">
      <c r="A139" s="284" t="s">
        <v>124</v>
      </c>
      <c r="B139" s="451" t="s">
        <v>242</v>
      </c>
      <c r="C139" s="452"/>
      <c r="D139" s="452"/>
      <c r="E139" s="452"/>
      <c r="F139" s="452"/>
      <c r="G139" s="452"/>
      <c r="H139" s="452"/>
      <c r="I139" s="453"/>
    </row>
    <row r="140" spans="1:9" s="264" customFormat="1" ht="67.5">
      <c r="A140" s="215" t="s">
        <v>220</v>
      </c>
      <c r="B140" s="215">
        <v>100981</v>
      </c>
      <c r="C140" s="215" t="s">
        <v>146</v>
      </c>
      <c r="D140" s="219" t="s">
        <v>243</v>
      </c>
      <c r="E140" s="215" t="s">
        <v>287</v>
      </c>
      <c r="F140" s="255">
        <f>(F138*0.15)</f>
        <v>2.25</v>
      </c>
      <c r="G140" s="216"/>
      <c r="H140" s="140">
        <f>G140*(1+$I$9)</f>
        <v>0</v>
      </c>
      <c r="I140" s="216">
        <f>ROUND((F140*H140),2)</f>
        <v>0</v>
      </c>
    </row>
    <row r="141" spans="1:9" s="264" customFormat="1" ht="45">
      <c r="A141" s="215" t="s">
        <v>224</v>
      </c>
      <c r="B141" s="215">
        <v>97914</v>
      </c>
      <c r="C141" s="215" t="s">
        <v>146</v>
      </c>
      <c r="D141" s="219" t="s">
        <v>290</v>
      </c>
      <c r="E141" s="215" t="s">
        <v>288</v>
      </c>
      <c r="F141" s="254">
        <f>F140*20</f>
        <v>45</v>
      </c>
      <c r="G141" s="216"/>
      <c r="H141" s="140">
        <f>G141*(1+$I$9)</f>
        <v>0</v>
      </c>
      <c r="I141" s="216">
        <f>ROUND((F141*H141),2)</f>
        <v>0</v>
      </c>
    </row>
    <row r="142" spans="1:9" s="264" customFormat="1" ht="22.5">
      <c r="A142" s="215" t="s">
        <v>225</v>
      </c>
      <c r="B142" s="215" t="s">
        <v>282</v>
      </c>
      <c r="C142" s="215" t="s">
        <v>167</v>
      </c>
      <c r="D142" s="219" t="s">
        <v>244</v>
      </c>
      <c r="E142" s="215" t="s">
        <v>245</v>
      </c>
      <c r="F142" s="254">
        <f>F140*2.4</f>
        <v>5.3999999999999995</v>
      </c>
      <c r="G142" s="217"/>
      <c r="H142" s="140">
        <f>G142*(1+$I$9)</f>
        <v>0</v>
      </c>
      <c r="I142" s="216">
        <f>ROUND((F142*H142),2)</f>
        <v>0</v>
      </c>
    </row>
    <row r="143" spans="1:9" s="264" customFormat="1" ht="12.75" customHeight="1">
      <c r="A143" s="442" t="str">
        <f>CONCATENATE("SUBTOTAL ",A134)</f>
        <v>SUBTOTAL 1</v>
      </c>
      <c r="B143" s="443"/>
      <c r="C143" s="443"/>
      <c r="D143" s="443"/>
      <c r="E143" s="443"/>
      <c r="F143" s="443"/>
      <c r="G143" s="443"/>
      <c r="H143" s="444"/>
      <c r="I143" s="265">
        <f>SUM(I136:I142)</f>
        <v>0</v>
      </c>
    </row>
    <row r="144" spans="1:9" s="264" customFormat="1">
      <c r="A144" s="262">
        <v>2</v>
      </c>
      <c r="B144" s="448" t="s">
        <v>246</v>
      </c>
      <c r="C144" s="449"/>
      <c r="D144" s="449"/>
      <c r="E144" s="449"/>
      <c r="F144" s="449"/>
      <c r="G144" s="449"/>
      <c r="H144" s="449"/>
      <c r="I144" s="450"/>
    </row>
    <row r="145" spans="1:9" s="264" customFormat="1">
      <c r="A145" s="284" t="s">
        <v>8</v>
      </c>
      <c r="B145" s="451" t="s">
        <v>247</v>
      </c>
      <c r="C145" s="452"/>
      <c r="D145" s="452"/>
      <c r="E145" s="452"/>
      <c r="F145" s="452"/>
      <c r="G145" s="452"/>
      <c r="H145" s="452"/>
      <c r="I145" s="453"/>
    </row>
    <row r="146" spans="1:9" s="264" customFormat="1" ht="33.75">
      <c r="A146" s="215" t="s">
        <v>248</v>
      </c>
      <c r="B146" s="215">
        <v>70030060</v>
      </c>
      <c r="C146" s="215" t="s">
        <v>142</v>
      </c>
      <c r="D146" s="219" t="s">
        <v>249</v>
      </c>
      <c r="E146" s="215" t="s">
        <v>287</v>
      </c>
      <c r="F146" s="254">
        <f>(F138*1.3)+(2.5*2*1.3)</f>
        <v>26</v>
      </c>
      <c r="G146" s="217"/>
      <c r="H146" s="140">
        <f>G146*(1+$I$9)</f>
        <v>0</v>
      </c>
      <c r="I146" s="216">
        <f>ROUND((F146*H146),2)</f>
        <v>0</v>
      </c>
    </row>
    <row r="147" spans="1:9" s="264" customFormat="1">
      <c r="A147" s="284" t="s">
        <v>9</v>
      </c>
      <c r="B147" s="451" t="s">
        <v>250</v>
      </c>
      <c r="C147" s="452"/>
      <c r="D147" s="452"/>
      <c r="E147" s="452"/>
      <c r="F147" s="452"/>
      <c r="G147" s="452"/>
      <c r="H147" s="452"/>
      <c r="I147" s="453"/>
    </row>
    <row r="148" spans="1:9" s="264" customFormat="1" ht="45">
      <c r="A148" s="215" t="s">
        <v>251</v>
      </c>
      <c r="B148" s="215">
        <v>70030020</v>
      </c>
      <c r="C148" s="215" t="s">
        <v>142</v>
      </c>
      <c r="D148" s="219" t="s">
        <v>252</v>
      </c>
      <c r="E148" s="215" t="s">
        <v>287</v>
      </c>
      <c r="F148" s="254">
        <f>F146-(2*1.2*0.4)</f>
        <v>25.04</v>
      </c>
      <c r="G148" s="217"/>
      <c r="H148" s="140">
        <f>G148*(1+$I$9)</f>
        <v>0</v>
      </c>
      <c r="I148" s="216">
        <f>ROUND((F148*H148),2)</f>
        <v>0</v>
      </c>
    </row>
    <row r="149" spans="1:9" s="264" customFormat="1" ht="12.75" customHeight="1">
      <c r="A149" s="442" t="str">
        <f>CONCATENATE("SUBTOTAL ",A144)</f>
        <v>SUBTOTAL 2</v>
      </c>
      <c r="B149" s="443"/>
      <c r="C149" s="443"/>
      <c r="D149" s="443"/>
      <c r="E149" s="443"/>
      <c r="F149" s="443"/>
      <c r="G149" s="443"/>
      <c r="H149" s="444"/>
      <c r="I149" s="265">
        <f>SUM(I146:I148)</f>
        <v>0</v>
      </c>
    </row>
    <row r="150" spans="1:9" s="264" customFormat="1">
      <c r="A150" s="262">
        <v>3</v>
      </c>
      <c r="B150" s="448" t="s">
        <v>342</v>
      </c>
      <c r="C150" s="449"/>
      <c r="D150" s="449"/>
      <c r="E150" s="449"/>
      <c r="F150" s="449"/>
      <c r="G150" s="449"/>
      <c r="H150" s="449"/>
      <c r="I150" s="450"/>
    </row>
    <row r="151" spans="1:9" s="264" customFormat="1">
      <c r="A151" s="284" t="s">
        <v>135</v>
      </c>
      <c r="B151" s="451" t="s">
        <v>253</v>
      </c>
      <c r="C151" s="452"/>
      <c r="D151" s="452"/>
      <c r="E151" s="452"/>
      <c r="F151" s="452"/>
      <c r="G151" s="452"/>
      <c r="H151" s="452"/>
      <c r="I151" s="453"/>
    </row>
    <row r="152" spans="1:9" s="264" customFormat="1" ht="67.5">
      <c r="A152" s="215" t="s">
        <v>254</v>
      </c>
      <c r="B152" s="215">
        <v>7042</v>
      </c>
      <c r="C152" s="215" t="s">
        <v>146</v>
      </c>
      <c r="D152" s="219" t="s">
        <v>291</v>
      </c>
      <c r="E152" s="215" t="s">
        <v>255</v>
      </c>
      <c r="F152" s="254">
        <v>2</v>
      </c>
      <c r="G152" s="216"/>
      <c r="H152" s="140">
        <f>G152*(1+$I$9)</f>
        <v>0</v>
      </c>
      <c r="I152" s="216">
        <f>ROUND((F152*H152),2)</f>
        <v>0</v>
      </c>
    </row>
    <row r="153" spans="1:9" s="264" customFormat="1" ht="12.75" customHeight="1">
      <c r="A153" s="442" t="str">
        <f>CONCATENATE("SUBTOTAL ",A150)</f>
        <v>SUBTOTAL 3</v>
      </c>
      <c r="B153" s="443"/>
      <c r="C153" s="443"/>
      <c r="D153" s="443"/>
      <c r="E153" s="443"/>
      <c r="F153" s="443"/>
      <c r="G153" s="443"/>
      <c r="H153" s="444"/>
      <c r="I153" s="265">
        <f>SUM(I152)</f>
        <v>0</v>
      </c>
    </row>
    <row r="154" spans="1:9" s="264" customFormat="1">
      <c r="A154" s="262">
        <v>4</v>
      </c>
      <c r="B154" s="448" t="s">
        <v>256</v>
      </c>
      <c r="C154" s="449"/>
      <c r="D154" s="449"/>
      <c r="E154" s="449"/>
      <c r="F154" s="449"/>
      <c r="G154" s="449"/>
      <c r="H154" s="449"/>
      <c r="I154" s="450"/>
    </row>
    <row r="155" spans="1:9" s="264" customFormat="1">
      <c r="A155" s="284" t="s">
        <v>136</v>
      </c>
      <c r="B155" s="451" t="s">
        <v>257</v>
      </c>
      <c r="C155" s="452"/>
      <c r="D155" s="452"/>
      <c r="E155" s="452"/>
      <c r="F155" s="452"/>
      <c r="G155" s="452"/>
      <c r="H155" s="452"/>
      <c r="I155" s="453"/>
    </row>
    <row r="156" spans="1:9" s="264" customFormat="1" ht="56.25">
      <c r="A156" s="214" t="s">
        <v>258</v>
      </c>
      <c r="B156" s="215">
        <v>95995</v>
      </c>
      <c r="C156" s="215" t="s">
        <v>146</v>
      </c>
      <c r="D156" s="219" t="s">
        <v>259</v>
      </c>
      <c r="E156" s="214" t="s">
        <v>287</v>
      </c>
      <c r="F156" s="255">
        <f>F138*0.05</f>
        <v>0.75</v>
      </c>
      <c r="G156" s="217"/>
      <c r="H156" s="140">
        <f t="shared" ref="H156:H161" si="20">G156*(1+$I$9)</f>
        <v>0</v>
      </c>
      <c r="I156" s="216">
        <f>ROUND((F156*H156),2)</f>
        <v>0</v>
      </c>
    </row>
    <row r="157" spans="1:9" s="264" customFormat="1" ht="22.5">
      <c r="A157" s="214" t="s">
        <v>260</v>
      </c>
      <c r="B157" s="215">
        <v>100985</v>
      </c>
      <c r="C157" s="215" t="s">
        <v>146</v>
      </c>
      <c r="D157" s="219" t="s">
        <v>261</v>
      </c>
      <c r="E157" s="215" t="s">
        <v>287</v>
      </c>
      <c r="F157" s="254">
        <f>F156</f>
        <v>0.75</v>
      </c>
      <c r="G157" s="216"/>
      <c r="H157" s="140">
        <f t="shared" si="20"/>
        <v>0</v>
      </c>
      <c r="I157" s="216">
        <f t="shared" ref="I157:I161" si="21">ROUND((F157*H157),2)</f>
        <v>0</v>
      </c>
    </row>
    <row r="158" spans="1:9" s="264" customFormat="1" ht="45">
      <c r="A158" s="214" t="s">
        <v>262</v>
      </c>
      <c r="B158" s="215">
        <v>97914</v>
      </c>
      <c r="C158" s="215" t="s">
        <v>146</v>
      </c>
      <c r="D158" s="219" t="s">
        <v>263</v>
      </c>
      <c r="E158" s="215" t="s">
        <v>288</v>
      </c>
      <c r="F158" s="254">
        <f>F156*20</f>
        <v>15</v>
      </c>
      <c r="G158" s="216"/>
      <c r="H158" s="140">
        <f t="shared" si="20"/>
        <v>0</v>
      </c>
      <c r="I158" s="216">
        <f t="shared" si="21"/>
        <v>0</v>
      </c>
    </row>
    <row r="159" spans="1:9" s="264" customFormat="1">
      <c r="A159" s="214" t="s">
        <v>264</v>
      </c>
      <c r="B159" s="214" t="s">
        <v>283</v>
      </c>
      <c r="C159" s="214" t="s">
        <v>167</v>
      </c>
      <c r="D159" s="222" t="s">
        <v>265</v>
      </c>
      <c r="E159" s="214" t="s">
        <v>140</v>
      </c>
      <c r="F159" s="255">
        <f>F138</f>
        <v>15</v>
      </c>
      <c r="G159" s="216"/>
      <c r="H159" s="140">
        <f t="shared" si="20"/>
        <v>0</v>
      </c>
      <c r="I159" s="216">
        <f t="shared" si="21"/>
        <v>0</v>
      </c>
    </row>
    <row r="160" spans="1:9" s="264" customFormat="1" ht="22.5">
      <c r="A160" s="214" t="s">
        <v>266</v>
      </c>
      <c r="B160" s="214" t="s">
        <v>284</v>
      </c>
      <c r="C160" s="214" t="s">
        <v>167</v>
      </c>
      <c r="D160" s="222" t="s">
        <v>267</v>
      </c>
      <c r="E160" s="214" t="s">
        <v>286</v>
      </c>
      <c r="F160" s="255">
        <f>F159</f>
        <v>15</v>
      </c>
      <c r="G160" s="216"/>
      <c r="H160" s="140">
        <f t="shared" si="20"/>
        <v>0</v>
      </c>
      <c r="I160" s="216">
        <f t="shared" si="21"/>
        <v>0</v>
      </c>
    </row>
    <row r="161" spans="1:9" s="264" customFormat="1">
      <c r="A161" s="214" t="s">
        <v>268</v>
      </c>
      <c r="B161" s="214" t="s">
        <v>285</v>
      </c>
      <c r="C161" s="214" t="s">
        <v>167</v>
      </c>
      <c r="D161" s="222" t="s">
        <v>269</v>
      </c>
      <c r="E161" s="214" t="s">
        <v>287</v>
      </c>
      <c r="F161" s="255">
        <f>F138*0.1</f>
        <v>1.5</v>
      </c>
      <c r="G161" s="216"/>
      <c r="H161" s="140">
        <f t="shared" si="20"/>
        <v>0</v>
      </c>
      <c r="I161" s="216">
        <f t="shared" si="21"/>
        <v>0</v>
      </c>
    </row>
    <row r="162" spans="1:9" s="264" customFormat="1">
      <c r="A162" s="442" t="str">
        <f>CONCATENATE("SUBTOTAL ",A154)</f>
        <v>SUBTOTAL 4</v>
      </c>
      <c r="B162" s="443"/>
      <c r="C162" s="443"/>
      <c r="D162" s="443"/>
      <c r="E162" s="443"/>
      <c r="F162" s="443"/>
      <c r="G162" s="443"/>
      <c r="H162" s="444"/>
      <c r="I162" s="265">
        <f>SUM(I156:I161)</f>
        <v>0</v>
      </c>
    </row>
    <row r="163" spans="1:9" s="264" customFormat="1">
      <c r="A163" s="262">
        <v>5</v>
      </c>
      <c r="B163" s="448" t="s">
        <v>364</v>
      </c>
      <c r="C163" s="449"/>
      <c r="D163" s="449"/>
      <c r="E163" s="449"/>
      <c r="F163" s="449"/>
      <c r="G163" s="449"/>
      <c r="H163" s="449"/>
      <c r="I163" s="450"/>
    </row>
    <row r="164" spans="1:9" s="288" customFormat="1">
      <c r="A164" s="284" t="s">
        <v>137</v>
      </c>
      <c r="B164" s="451" t="s">
        <v>365</v>
      </c>
      <c r="C164" s="452"/>
      <c r="D164" s="452"/>
      <c r="E164" s="452"/>
      <c r="F164" s="452"/>
      <c r="G164" s="452"/>
      <c r="H164" s="452"/>
      <c r="I164" s="453"/>
    </row>
    <row r="165" spans="1:9" s="264" customFormat="1" ht="22.5">
      <c r="A165" s="229" t="s">
        <v>270</v>
      </c>
      <c r="B165" s="230">
        <v>70070039</v>
      </c>
      <c r="C165" s="137" t="s">
        <v>142</v>
      </c>
      <c r="D165" s="259" t="s">
        <v>367</v>
      </c>
      <c r="E165" s="252" t="s">
        <v>6</v>
      </c>
      <c r="F165" s="260">
        <v>2</v>
      </c>
      <c r="G165" s="261"/>
      <c r="H165" s="140">
        <f>G165*(1+$I$9)</f>
        <v>0</v>
      </c>
      <c r="I165" s="216">
        <f>ROUND((F165*H165),2)</f>
        <v>0</v>
      </c>
    </row>
    <row r="166" spans="1:9" s="264" customFormat="1" ht="22.5">
      <c r="A166" s="229" t="s">
        <v>271</v>
      </c>
      <c r="B166" s="230">
        <v>70070142</v>
      </c>
      <c r="C166" s="137" t="s">
        <v>142</v>
      </c>
      <c r="D166" s="259" t="s">
        <v>368</v>
      </c>
      <c r="E166" s="215" t="s">
        <v>287</v>
      </c>
      <c r="F166" s="260">
        <f>1.99*1.19*0.39</f>
        <v>0.92355900000000002</v>
      </c>
      <c r="G166" s="261"/>
      <c r="H166" s="140">
        <f>G166*(1+$I$9)</f>
        <v>0</v>
      </c>
      <c r="I166" s="216">
        <f>ROUND((F166*H166),2)</f>
        <v>0</v>
      </c>
    </row>
    <row r="167" spans="1:9" s="264" customFormat="1" ht="33.75">
      <c r="A167" s="229" t="s">
        <v>272</v>
      </c>
      <c r="B167" s="230">
        <v>70110024</v>
      </c>
      <c r="C167" s="137" t="s">
        <v>142</v>
      </c>
      <c r="D167" s="259" t="s">
        <v>155</v>
      </c>
      <c r="E167" s="252" t="s">
        <v>140</v>
      </c>
      <c r="F167" s="260">
        <f>((1.19*2)+(1.99*2))*0.39</f>
        <v>2.4803999999999999</v>
      </c>
      <c r="G167" s="261"/>
      <c r="H167" s="140">
        <f>G167*(1+$I$9)</f>
        <v>0</v>
      </c>
      <c r="I167" s="216">
        <f>ROUND((F167*H167),2)</f>
        <v>0</v>
      </c>
    </row>
    <row r="168" spans="1:9" s="288" customFormat="1">
      <c r="A168" s="284" t="s">
        <v>138</v>
      </c>
      <c r="B168" s="451" t="s">
        <v>366</v>
      </c>
      <c r="C168" s="452"/>
      <c r="D168" s="452"/>
      <c r="E168" s="452"/>
      <c r="F168" s="452"/>
      <c r="G168" s="452"/>
      <c r="H168" s="452"/>
      <c r="I168" s="453"/>
    </row>
    <row r="169" spans="1:9" s="264" customFormat="1" ht="22.5">
      <c r="A169" s="229" t="s">
        <v>279</v>
      </c>
      <c r="B169" s="230">
        <v>70110013</v>
      </c>
      <c r="C169" s="137" t="s">
        <v>142</v>
      </c>
      <c r="D169" s="259" t="s">
        <v>395</v>
      </c>
      <c r="E169" s="252" t="s">
        <v>140</v>
      </c>
      <c r="F169" s="260">
        <f>(1.6+0.6+0.6)*1.8</f>
        <v>5.0400000000000009</v>
      </c>
      <c r="G169" s="261"/>
      <c r="H169" s="140">
        <f>G169*(1+$I$9)</f>
        <v>0</v>
      </c>
      <c r="I169" s="216">
        <f>ROUND((F169*H169),2)</f>
        <v>0</v>
      </c>
    </row>
    <row r="170" spans="1:9" s="288" customFormat="1">
      <c r="A170" s="284" t="s">
        <v>354</v>
      </c>
      <c r="B170" s="451" t="s">
        <v>371</v>
      </c>
      <c r="C170" s="452"/>
      <c r="D170" s="452"/>
      <c r="E170" s="452"/>
      <c r="F170" s="452"/>
      <c r="G170" s="452"/>
      <c r="H170" s="452"/>
      <c r="I170" s="453"/>
    </row>
    <row r="171" spans="1:9" s="264" customFormat="1">
      <c r="A171" s="229" t="s">
        <v>355</v>
      </c>
      <c r="B171" s="230">
        <v>70070126</v>
      </c>
      <c r="C171" s="137" t="s">
        <v>142</v>
      </c>
      <c r="D171" s="259" t="s">
        <v>369</v>
      </c>
      <c r="E171" s="252" t="s">
        <v>140</v>
      </c>
      <c r="F171" s="260">
        <f>(1.6*0.95)+(1.6+1.6+0.95+0.95)*0.1</f>
        <v>2.0300000000000002</v>
      </c>
      <c r="G171" s="261"/>
      <c r="H171" s="140">
        <f>G171*(1+$I$9)</f>
        <v>0</v>
      </c>
      <c r="I171" s="216">
        <f>ROUND((F171*H171),2)</f>
        <v>0</v>
      </c>
    </row>
    <row r="172" spans="1:9" s="264" customFormat="1" ht="22.5">
      <c r="A172" s="229" t="s">
        <v>370</v>
      </c>
      <c r="B172" s="230">
        <v>70070142</v>
      </c>
      <c r="C172" s="137" t="s">
        <v>142</v>
      </c>
      <c r="D172" s="259" t="s">
        <v>368</v>
      </c>
      <c r="E172" s="215" t="s">
        <v>287</v>
      </c>
      <c r="F172" s="260">
        <f>1.6*0.95*0.1</f>
        <v>0.15200000000000002</v>
      </c>
      <c r="G172" s="261"/>
      <c r="H172" s="140">
        <f>G172*(1+$I$9)</f>
        <v>0</v>
      </c>
      <c r="I172" s="216">
        <f>ROUND((F172*H172),2)</f>
        <v>0</v>
      </c>
    </row>
    <row r="173" spans="1:9" s="264" customFormat="1" ht="11.25" customHeight="1">
      <c r="A173" s="442" t="s">
        <v>356</v>
      </c>
      <c r="B173" s="443"/>
      <c r="C173" s="443"/>
      <c r="D173" s="443"/>
      <c r="E173" s="443"/>
      <c r="F173" s="443"/>
      <c r="G173" s="443"/>
      <c r="H173" s="444"/>
      <c r="I173" s="265">
        <f>SUM(I164:I172)</f>
        <v>0</v>
      </c>
    </row>
    <row r="174" spans="1:9" s="264" customFormat="1">
      <c r="A174" s="262">
        <v>6</v>
      </c>
      <c r="B174" s="448" t="s">
        <v>360</v>
      </c>
      <c r="C174" s="449"/>
      <c r="D174" s="449"/>
      <c r="E174" s="449"/>
      <c r="F174" s="449"/>
      <c r="G174" s="449"/>
      <c r="H174" s="449"/>
      <c r="I174" s="450"/>
    </row>
    <row r="175" spans="1:9" s="288" customFormat="1">
      <c r="A175" s="284" t="s">
        <v>139</v>
      </c>
      <c r="B175" s="451" t="s">
        <v>361</v>
      </c>
      <c r="C175" s="452"/>
      <c r="D175" s="452"/>
      <c r="E175" s="452"/>
      <c r="F175" s="452"/>
      <c r="G175" s="452"/>
      <c r="H175" s="452"/>
      <c r="I175" s="453"/>
    </row>
    <row r="176" spans="1:9" s="264" customFormat="1" ht="22.5">
      <c r="A176" s="229" t="s">
        <v>299</v>
      </c>
      <c r="B176" s="188" t="s">
        <v>396</v>
      </c>
      <c r="C176" s="137" t="s">
        <v>142</v>
      </c>
      <c r="D176" s="266" t="s">
        <v>397</v>
      </c>
      <c r="E176" s="267" t="s">
        <v>5</v>
      </c>
      <c r="F176" s="268">
        <v>2</v>
      </c>
      <c r="G176" s="269"/>
      <c r="H176" s="140">
        <f t="shared" ref="H176:H184" si="22">G176*(1+$I$9)</f>
        <v>0</v>
      </c>
      <c r="I176" s="216">
        <f t="shared" ref="I176:I181" si="23">ROUND((F176*H176),2)</f>
        <v>0</v>
      </c>
    </row>
    <row r="177" spans="1:9" s="264" customFormat="1" ht="22.5">
      <c r="A177" s="229" t="s">
        <v>300</v>
      </c>
      <c r="B177" s="230">
        <v>12428</v>
      </c>
      <c r="C177" s="137" t="s">
        <v>146</v>
      </c>
      <c r="D177" s="259" t="s">
        <v>398</v>
      </c>
      <c r="E177" s="252" t="s">
        <v>5</v>
      </c>
      <c r="F177" s="260">
        <v>2</v>
      </c>
      <c r="G177" s="261"/>
      <c r="H177" s="140">
        <f t="shared" si="22"/>
        <v>0</v>
      </c>
      <c r="I177" s="216">
        <f t="shared" si="23"/>
        <v>0</v>
      </c>
    </row>
    <row r="178" spans="1:9" s="264" customFormat="1" ht="22.5">
      <c r="A178" s="229" t="s">
        <v>301</v>
      </c>
      <c r="B178" s="230" t="s">
        <v>147</v>
      </c>
      <c r="C178" s="137" t="s">
        <v>142</v>
      </c>
      <c r="D178" s="259" t="s">
        <v>405</v>
      </c>
      <c r="E178" s="252" t="s">
        <v>5</v>
      </c>
      <c r="F178" s="260">
        <v>3</v>
      </c>
      <c r="G178" s="261"/>
      <c r="H178" s="140">
        <f t="shared" si="22"/>
        <v>0</v>
      </c>
      <c r="I178" s="216">
        <f t="shared" si="23"/>
        <v>0</v>
      </c>
    </row>
    <row r="179" spans="1:9" s="294" customFormat="1" ht="22.5">
      <c r="A179" s="229" t="s">
        <v>302</v>
      </c>
      <c r="B179" s="230" t="s">
        <v>413</v>
      </c>
      <c r="C179" s="137" t="s">
        <v>167</v>
      </c>
      <c r="D179" s="293" t="s">
        <v>414</v>
      </c>
      <c r="E179" s="252" t="s">
        <v>5</v>
      </c>
      <c r="F179" s="260">
        <v>3</v>
      </c>
      <c r="G179" s="261"/>
      <c r="H179" s="140">
        <f t="shared" si="22"/>
        <v>0</v>
      </c>
      <c r="I179" s="217">
        <f t="shared" si="23"/>
        <v>0</v>
      </c>
    </row>
    <row r="180" spans="1:9" s="264" customFormat="1" ht="22.5">
      <c r="A180" s="229" t="s">
        <v>303</v>
      </c>
      <c r="B180" s="230">
        <v>3266</v>
      </c>
      <c r="C180" s="137" t="s">
        <v>146</v>
      </c>
      <c r="D180" s="259" t="s">
        <v>406</v>
      </c>
      <c r="E180" s="252" t="s">
        <v>5</v>
      </c>
      <c r="F180" s="260">
        <v>2</v>
      </c>
      <c r="G180" s="261"/>
      <c r="H180" s="140">
        <f t="shared" si="22"/>
        <v>0</v>
      </c>
      <c r="I180" s="216">
        <f t="shared" si="23"/>
        <v>0</v>
      </c>
    </row>
    <row r="181" spans="1:9" s="294" customFormat="1" ht="22.5">
      <c r="A181" s="229" t="s">
        <v>304</v>
      </c>
      <c r="B181" s="230" t="s">
        <v>213</v>
      </c>
      <c r="C181" s="152" t="s">
        <v>167</v>
      </c>
      <c r="D181" s="295" t="s">
        <v>415</v>
      </c>
      <c r="E181" s="252" t="s">
        <v>5</v>
      </c>
      <c r="F181" s="260">
        <v>1</v>
      </c>
      <c r="G181" s="261"/>
      <c r="H181" s="140">
        <f t="shared" si="22"/>
        <v>0</v>
      </c>
      <c r="I181" s="217">
        <f t="shared" si="23"/>
        <v>0</v>
      </c>
    </row>
    <row r="182" spans="1:9" s="264" customFormat="1" ht="22.5">
      <c r="A182" s="229" t="s">
        <v>305</v>
      </c>
      <c r="B182" s="230">
        <v>771</v>
      </c>
      <c r="C182" s="137" t="s">
        <v>146</v>
      </c>
      <c r="D182" s="259" t="s">
        <v>407</v>
      </c>
      <c r="E182" s="252" t="s">
        <v>5</v>
      </c>
      <c r="F182" s="260">
        <v>1</v>
      </c>
      <c r="G182" s="261"/>
      <c r="H182" s="140">
        <f t="shared" si="22"/>
        <v>0</v>
      </c>
      <c r="I182" s="216">
        <f>ROUND((F182*H182),2)</f>
        <v>0</v>
      </c>
    </row>
    <row r="183" spans="1:9" s="264" customFormat="1" ht="22.5">
      <c r="A183" s="229" t="s">
        <v>306</v>
      </c>
      <c r="B183" s="230" t="s">
        <v>151</v>
      </c>
      <c r="C183" s="137" t="s">
        <v>142</v>
      </c>
      <c r="D183" s="259" t="s">
        <v>408</v>
      </c>
      <c r="E183" s="252" t="s">
        <v>5</v>
      </c>
      <c r="F183" s="260">
        <v>1</v>
      </c>
      <c r="G183" s="261"/>
      <c r="H183" s="140">
        <f t="shared" si="22"/>
        <v>0</v>
      </c>
      <c r="I183" s="216">
        <f>ROUND((F183*H183),2)</f>
        <v>0</v>
      </c>
    </row>
    <row r="184" spans="1:9" s="264" customFormat="1" ht="22.5">
      <c r="A184" s="229" t="s">
        <v>307</v>
      </c>
      <c r="B184" s="230" t="s">
        <v>153</v>
      </c>
      <c r="C184" s="137" t="s">
        <v>142</v>
      </c>
      <c r="D184" s="259" t="s">
        <v>409</v>
      </c>
      <c r="E184" s="252" t="s">
        <v>6</v>
      </c>
      <c r="F184" s="260">
        <v>6</v>
      </c>
      <c r="G184" s="261"/>
      <c r="H184" s="140">
        <f t="shared" si="22"/>
        <v>0</v>
      </c>
      <c r="I184" s="216">
        <f>ROUND((F184*H184),2)</f>
        <v>0</v>
      </c>
    </row>
    <row r="185" spans="1:9" s="288" customFormat="1">
      <c r="A185" s="284" t="s">
        <v>372</v>
      </c>
      <c r="B185" s="451" t="s">
        <v>362</v>
      </c>
      <c r="C185" s="452"/>
      <c r="D185" s="452"/>
      <c r="E185" s="452"/>
      <c r="F185" s="452"/>
      <c r="G185" s="452"/>
      <c r="H185" s="452"/>
      <c r="I185" s="453"/>
    </row>
    <row r="186" spans="1:9" s="264" customFormat="1" ht="22.5">
      <c r="A186" s="229" t="s">
        <v>373</v>
      </c>
      <c r="B186" s="230">
        <v>3825</v>
      </c>
      <c r="C186" s="137" t="s">
        <v>146</v>
      </c>
      <c r="D186" s="291" t="s">
        <v>399</v>
      </c>
      <c r="E186" s="252" t="s">
        <v>5</v>
      </c>
      <c r="F186" s="260">
        <v>2</v>
      </c>
      <c r="G186" s="292"/>
      <c r="H186" s="140">
        <f>G186*(1+$I$9)</f>
        <v>0</v>
      </c>
      <c r="I186" s="216">
        <f t="shared" ref="I186:I188" si="24">ROUND((F186*H186),2)</f>
        <v>0</v>
      </c>
    </row>
    <row r="187" spans="1:9" s="264" customFormat="1" ht="22.5">
      <c r="A187" s="229" t="s">
        <v>374</v>
      </c>
      <c r="B187" s="230">
        <v>3827</v>
      </c>
      <c r="C187" s="137" t="s">
        <v>146</v>
      </c>
      <c r="D187" s="334" t="s">
        <v>416</v>
      </c>
      <c r="E187" s="267" t="s">
        <v>5</v>
      </c>
      <c r="F187" s="268">
        <v>2</v>
      </c>
      <c r="G187" s="290"/>
      <c r="H187" s="140">
        <f>G187*(1+$I$9)</f>
        <v>0</v>
      </c>
      <c r="I187" s="216">
        <f t="shared" si="24"/>
        <v>0</v>
      </c>
    </row>
    <row r="188" spans="1:9" s="264" customFormat="1" ht="33.75">
      <c r="A188" s="229" t="s">
        <v>375</v>
      </c>
      <c r="B188" s="230">
        <v>11493</v>
      </c>
      <c r="C188" s="137" t="s">
        <v>146</v>
      </c>
      <c r="D188" s="259" t="s">
        <v>417</v>
      </c>
      <c r="E188" s="252" t="s">
        <v>5</v>
      </c>
      <c r="F188" s="260">
        <v>2</v>
      </c>
      <c r="G188" s="261"/>
      <c r="H188" s="140">
        <f>G188*(1+$I$9)</f>
        <v>0</v>
      </c>
      <c r="I188" s="216">
        <f t="shared" si="24"/>
        <v>0</v>
      </c>
    </row>
    <row r="189" spans="1:9" s="264" customFormat="1" ht="33.75">
      <c r="A189" s="229" t="s">
        <v>402</v>
      </c>
      <c r="B189" s="272">
        <v>36378</v>
      </c>
      <c r="C189" s="137" t="s">
        <v>146</v>
      </c>
      <c r="D189" s="273" t="s">
        <v>347</v>
      </c>
      <c r="E189" s="252" t="s">
        <v>6</v>
      </c>
      <c r="F189" s="260">
        <f>10*2</f>
        <v>20</v>
      </c>
      <c r="G189" s="269"/>
      <c r="H189" s="140">
        <f>G189*(1+$I$9)</f>
        <v>0</v>
      </c>
      <c r="I189" s="216">
        <f>ROUND((F189*H189),2)</f>
        <v>0</v>
      </c>
    </row>
    <row r="190" spans="1:9" s="288" customFormat="1">
      <c r="A190" s="284" t="s">
        <v>69</v>
      </c>
      <c r="B190" s="451" t="s">
        <v>363</v>
      </c>
      <c r="C190" s="452"/>
      <c r="D190" s="452"/>
      <c r="E190" s="452"/>
      <c r="F190" s="452"/>
      <c r="G190" s="452"/>
      <c r="H190" s="452"/>
      <c r="I190" s="453"/>
    </row>
    <row r="191" spans="1:9" s="264" customFormat="1" ht="33.75">
      <c r="A191" s="229" t="s">
        <v>376</v>
      </c>
      <c r="B191" s="230" t="s">
        <v>148</v>
      </c>
      <c r="C191" s="137" t="s">
        <v>142</v>
      </c>
      <c r="D191" s="259" t="s">
        <v>410</v>
      </c>
      <c r="E191" s="252" t="s">
        <v>5</v>
      </c>
      <c r="F191" s="260">
        <v>2</v>
      </c>
      <c r="G191" s="261"/>
      <c r="H191" s="140">
        <f>G191*(1+$I$9)</f>
        <v>0</v>
      </c>
      <c r="I191" s="216">
        <f>ROUND((F191*H191),2)</f>
        <v>0</v>
      </c>
    </row>
    <row r="192" spans="1:9" s="264" customFormat="1" ht="33.75">
      <c r="A192" s="229" t="s">
        <v>377</v>
      </c>
      <c r="B192" s="230" t="s">
        <v>154</v>
      </c>
      <c r="C192" s="137" t="s">
        <v>142</v>
      </c>
      <c r="D192" s="259" t="s">
        <v>434</v>
      </c>
      <c r="E192" s="252" t="s">
        <v>5</v>
      </c>
      <c r="F192" s="260">
        <v>1</v>
      </c>
      <c r="G192" s="261"/>
      <c r="H192" s="140">
        <f>G192*(1+$I$9)</f>
        <v>0</v>
      </c>
      <c r="I192" s="216">
        <f t="shared" ref="I192" si="25">ROUND((F192*H192),2)</f>
        <v>0</v>
      </c>
    </row>
    <row r="193" spans="1:9" s="264" customFormat="1" ht="22.5">
      <c r="A193" s="229" t="s">
        <v>378</v>
      </c>
      <c r="B193" s="230" t="s">
        <v>150</v>
      </c>
      <c r="C193" s="137" t="s">
        <v>142</v>
      </c>
      <c r="D193" s="259" t="s">
        <v>411</v>
      </c>
      <c r="E193" s="252" t="s">
        <v>5</v>
      </c>
      <c r="F193" s="260">
        <v>1</v>
      </c>
      <c r="G193" s="261"/>
      <c r="H193" s="140">
        <f>G193*(1+$I$9)</f>
        <v>0</v>
      </c>
      <c r="I193" s="216">
        <f>ROUND((F193*H193),2)</f>
        <v>0</v>
      </c>
    </row>
    <row r="194" spans="1:9" s="264" customFormat="1" ht="33.75">
      <c r="A194" s="229" t="s">
        <v>379</v>
      </c>
      <c r="B194" s="230" t="s">
        <v>149</v>
      </c>
      <c r="C194" s="152" t="s">
        <v>142</v>
      </c>
      <c r="D194" s="258" t="s">
        <v>412</v>
      </c>
      <c r="E194" s="252" t="s">
        <v>5</v>
      </c>
      <c r="F194" s="260">
        <v>1</v>
      </c>
      <c r="G194" s="261"/>
      <c r="H194" s="140">
        <f>G194*(1+$I$9)</f>
        <v>0</v>
      </c>
      <c r="I194" s="216">
        <f>ROUND((F194*H194),2)</f>
        <v>0</v>
      </c>
    </row>
    <row r="195" spans="1:9" s="288" customFormat="1">
      <c r="A195" s="284" t="s">
        <v>70</v>
      </c>
      <c r="B195" s="451" t="s">
        <v>383</v>
      </c>
      <c r="C195" s="452"/>
      <c r="D195" s="452"/>
      <c r="E195" s="452"/>
      <c r="F195" s="452"/>
      <c r="G195" s="452"/>
      <c r="H195" s="452"/>
      <c r="I195" s="453"/>
    </row>
    <row r="196" spans="1:9" s="264" customFormat="1" ht="33.75">
      <c r="A196" s="229" t="s">
        <v>386</v>
      </c>
      <c r="B196" s="246" t="s">
        <v>384</v>
      </c>
      <c r="C196" s="137" t="s">
        <v>167</v>
      </c>
      <c r="D196" s="271" t="s">
        <v>385</v>
      </c>
      <c r="E196" s="267" t="s">
        <v>6</v>
      </c>
      <c r="F196" s="268">
        <f>F184</f>
        <v>6</v>
      </c>
      <c r="G196" s="269"/>
      <c r="H196" s="140">
        <f>G196*(1+$I$9)</f>
        <v>0</v>
      </c>
      <c r="I196" s="216">
        <f t="shared" ref="I196" si="26">ROUND((F196*H196),2)</f>
        <v>0</v>
      </c>
    </row>
    <row r="197" spans="1:9" s="288" customFormat="1">
      <c r="A197" s="284" t="s">
        <v>71</v>
      </c>
      <c r="B197" s="451" t="s">
        <v>352</v>
      </c>
      <c r="C197" s="452"/>
      <c r="D197" s="452"/>
      <c r="E197" s="452"/>
      <c r="F197" s="452"/>
      <c r="G197" s="452"/>
      <c r="H197" s="452"/>
      <c r="I197" s="453"/>
    </row>
    <row r="198" spans="1:9" s="264" customFormat="1" ht="79.5" customHeight="1">
      <c r="A198" s="229" t="s">
        <v>387</v>
      </c>
      <c r="B198" s="246">
        <v>105366</v>
      </c>
      <c r="C198" s="137" t="s">
        <v>146</v>
      </c>
      <c r="D198" s="271" t="s">
        <v>418</v>
      </c>
      <c r="E198" s="267" t="s">
        <v>5</v>
      </c>
      <c r="F198" s="268">
        <f>F188</f>
        <v>2</v>
      </c>
      <c r="G198" s="269"/>
      <c r="H198" s="140">
        <f>G198*(1+$I$9)</f>
        <v>0</v>
      </c>
      <c r="I198" s="216">
        <f t="shared" ref="I198:I201" si="27">ROUND((F198*H198),2)</f>
        <v>0</v>
      </c>
    </row>
    <row r="199" spans="1:9" s="264" customFormat="1" ht="79.5" customHeight="1">
      <c r="A199" s="229" t="s">
        <v>388</v>
      </c>
      <c r="B199" s="246">
        <v>105286</v>
      </c>
      <c r="C199" s="137" t="s">
        <v>146</v>
      </c>
      <c r="D199" s="271" t="s">
        <v>382</v>
      </c>
      <c r="E199" s="267" t="s">
        <v>5</v>
      </c>
      <c r="F199" s="268">
        <f>F186</f>
        <v>2</v>
      </c>
      <c r="G199" s="269"/>
      <c r="H199" s="140">
        <f>G199*(1+$I$9)</f>
        <v>0</v>
      </c>
      <c r="I199" s="216">
        <f t="shared" si="27"/>
        <v>0</v>
      </c>
    </row>
    <row r="200" spans="1:9" s="264" customFormat="1" ht="79.5" customHeight="1">
      <c r="A200" s="229" t="s">
        <v>389</v>
      </c>
      <c r="B200" s="246">
        <v>105289</v>
      </c>
      <c r="C200" s="137" t="s">
        <v>146</v>
      </c>
      <c r="D200" s="271" t="s">
        <v>419</v>
      </c>
      <c r="E200" s="267" t="s">
        <v>5</v>
      </c>
      <c r="F200" s="268">
        <f>F187</f>
        <v>2</v>
      </c>
      <c r="G200" s="269"/>
      <c r="H200" s="140">
        <f>G200*(1+$I$9)</f>
        <v>0</v>
      </c>
      <c r="I200" s="216">
        <f t="shared" si="27"/>
        <v>0</v>
      </c>
    </row>
    <row r="201" spans="1:9" s="264" customFormat="1" ht="67.5">
      <c r="A201" s="229" t="s">
        <v>404</v>
      </c>
      <c r="B201" s="246">
        <v>97121</v>
      </c>
      <c r="C201" s="137" t="s">
        <v>146</v>
      </c>
      <c r="D201" s="271" t="s">
        <v>349</v>
      </c>
      <c r="E201" s="267" t="s">
        <v>5</v>
      </c>
      <c r="F201" s="268">
        <f>F189</f>
        <v>20</v>
      </c>
      <c r="G201" s="269"/>
      <c r="H201" s="140">
        <f>G201*(1+$I$9)</f>
        <v>0</v>
      </c>
      <c r="I201" s="216">
        <f t="shared" si="27"/>
        <v>0</v>
      </c>
    </row>
    <row r="202" spans="1:9" s="288" customFormat="1" ht="11.25" customHeight="1">
      <c r="A202" s="284" t="s">
        <v>72</v>
      </c>
      <c r="B202" s="451" t="s">
        <v>390</v>
      </c>
      <c r="C202" s="452"/>
      <c r="D202" s="452"/>
      <c r="E202" s="452"/>
      <c r="F202" s="452"/>
      <c r="G202" s="452"/>
      <c r="H202" s="452"/>
      <c r="I202" s="453"/>
    </row>
    <row r="203" spans="1:9" s="264" customFormat="1" ht="22.5">
      <c r="A203" s="229" t="s">
        <v>391</v>
      </c>
      <c r="B203" s="246">
        <v>70140057</v>
      </c>
      <c r="C203" s="137" t="s">
        <v>142</v>
      </c>
      <c r="D203" s="271" t="s">
        <v>393</v>
      </c>
      <c r="E203" s="267" t="s">
        <v>5</v>
      </c>
      <c r="F203" s="268">
        <f>F191+F192</f>
        <v>3</v>
      </c>
      <c r="G203" s="269"/>
      <c r="H203" s="140">
        <f>G203*(1+$I$9)</f>
        <v>0</v>
      </c>
      <c r="I203" s="216">
        <f t="shared" ref="I203:I204" si="28">ROUND((F203*H203),2)</f>
        <v>0</v>
      </c>
    </row>
    <row r="204" spans="1:9" s="264" customFormat="1" ht="22.5">
      <c r="A204" s="229" t="s">
        <v>392</v>
      </c>
      <c r="B204" s="246">
        <v>70140072</v>
      </c>
      <c r="C204" s="137" t="s">
        <v>142</v>
      </c>
      <c r="D204" s="271" t="s">
        <v>394</v>
      </c>
      <c r="E204" s="267" t="s">
        <v>5</v>
      </c>
      <c r="F204" s="268">
        <f>F194</f>
        <v>1</v>
      </c>
      <c r="G204" s="269"/>
      <c r="H204" s="140">
        <f>G204*(1+$I$9)</f>
        <v>0</v>
      </c>
      <c r="I204" s="216">
        <f t="shared" si="28"/>
        <v>0</v>
      </c>
    </row>
    <row r="205" spans="1:9" s="264" customFormat="1" ht="12.75" customHeight="1">
      <c r="A205" s="442" t="str">
        <f>CONCATENATE("SUBTOTAL ",A174)</f>
        <v>SUBTOTAL 6</v>
      </c>
      <c r="B205" s="443"/>
      <c r="C205" s="443"/>
      <c r="D205" s="443"/>
      <c r="E205" s="443"/>
      <c r="F205" s="443"/>
      <c r="G205" s="443"/>
      <c r="H205" s="444"/>
      <c r="I205" s="265">
        <f>SUM(I176:I204)</f>
        <v>0</v>
      </c>
    </row>
    <row r="206" spans="1:9" ht="18" customHeight="1">
      <c r="A206" s="423" t="s">
        <v>420</v>
      </c>
      <c r="B206" s="424"/>
      <c r="C206" s="424"/>
      <c r="D206" s="424"/>
      <c r="E206" s="424"/>
      <c r="F206" s="424"/>
      <c r="G206" s="424"/>
      <c r="H206" s="425"/>
      <c r="I206" s="257">
        <f>I205+I173+I162+I153+I149+I143</f>
        <v>0</v>
      </c>
    </row>
    <row r="207" spans="1:9" s="134" customFormat="1" ht="16.5" customHeight="1">
      <c r="A207" s="460" t="s">
        <v>128</v>
      </c>
      <c r="B207" s="461"/>
      <c r="C207" s="461"/>
      <c r="D207" s="461"/>
      <c r="E207" s="461"/>
      <c r="F207" s="461"/>
      <c r="G207" s="461"/>
      <c r="H207" s="461"/>
      <c r="I207" s="462"/>
    </row>
    <row r="208" spans="1:9" s="134" customFormat="1" ht="33.75">
      <c r="A208" s="274" t="s">
        <v>1</v>
      </c>
      <c r="B208" s="274" t="s">
        <v>3</v>
      </c>
      <c r="C208" s="274" t="s">
        <v>15</v>
      </c>
      <c r="D208" s="274" t="s">
        <v>2</v>
      </c>
      <c r="E208" s="274" t="s">
        <v>316</v>
      </c>
      <c r="F208" s="275" t="s">
        <v>158</v>
      </c>
      <c r="G208" s="276" t="s">
        <v>159</v>
      </c>
      <c r="H208" s="276" t="s">
        <v>160</v>
      </c>
      <c r="I208" s="277" t="s">
        <v>161</v>
      </c>
    </row>
    <row r="209" spans="1:9" s="135" customFormat="1" ht="12" customHeight="1">
      <c r="A209" s="150">
        <v>1</v>
      </c>
      <c r="B209" s="169" t="s">
        <v>238</v>
      </c>
      <c r="C209" s="170"/>
      <c r="D209" s="170"/>
      <c r="E209" s="170"/>
      <c r="F209" s="253"/>
      <c r="G209" s="170"/>
      <c r="H209" s="220"/>
      <c r="I209" s="171"/>
    </row>
    <row r="210" spans="1:9" s="135" customFormat="1" ht="12" customHeight="1">
      <c r="A210" s="278" t="s">
        <v>4</v>
      </c>
      <c r="B210" s="279" t="s">
        <v>239</v>
      </c>
      <c r="C210" s="280"/>
      <c r="D210" s="280"/>
      <c r="E210" s="280"/>
      <c r="F210" s="281"/>
      <c r="G210" s="280"/>
      <c r="H210" s="282"/>
      <c r="I210" s="283"/>
    </row>
    <row r="211" spans="1:9" s="264" customFormat="1">
      <c r="A211" s="215" t="s">
        <v>162</v>
      </c>
      <c r="B211" s="214">
        <v>70020004</v>
      </c>
      <c r="C211" s="214" t="s">
        <v>142</v>
      </c>
      <c r="D211" s="222" t="s">
        <v>240</v>
      </c>
      <c r="E211" s="215" t="s">
        <v>6</v>
      </c>
      <c r="F211" s="254">
        <v>30</v>
      </c>
      <c r="G211" s="216"/>
      <c r="H211" s="140">
        <f>G211*(1+$I$9)</f>
        <v>0</v>
      </c>
      <c r="I211" s="216">
        <f>ROUND((F211*H211),2)</f>
        <v>0</v>
      </c>
    </row>
    <row r="212" spans="1:9" s="264" customFormat="1">
      <c r="A212" s="284" t="s">
        <v>123</v>
      </c>
      <c r="B212" s="451" t="s">
        <v>241</v>
      </c>
      <c r="C212" s="452"/>
      <c r="D212" s="452"/>
      <c r="E212" s="452"/>
      <c r="F212" s="452"/>
      <c r="G212" s="452"/>
      <c r="H212" s="452"/>
      <c r="I212" s="453"/>
    </row>
    <row r="213" spans="1:9" s="264" customFormat="1" ht="45">
      <c r="A213" s="215" t="s">
        <v>180</v>
      </c>
      <c r="B213" s="215">
        <v>97636</v>
      </c>
      <c r="C213" s="215" t="s">
        <v>146</v>
      </c>
      <c r="D213" s="219" t="s">
        <v>289</v>
      </c>
      <c r="E213" s="214" t="s">
        <v>140</v>
      </c>
      <c r="F213" s="254">
        <f>2*7.5</f>
        <v>15</v>
      </c>
      <c r="G213" s="216"/>
      <c r="H213" s="140">
        <f>G213*(1+$I$9)</f>
        <v>0</v>
      </c>
      <c r="I213" s="216">
        <f>ROUND((F213*H213),2)</f>
        <v>0</v>
      </c>
    </row>
    <row r="214" spans="1:9" s="264" customFormat="1">
      <c r="A214" s="284" t="s">
        <v>124</v>
      </c>
      <c r="B214" s="451" t="s">
        <v>242</v>
      </c>
      <c r="C214" s="452"/>
      <c r="D214" s="452"/>
      <c r="E214" s="452"/>
      <c r="F214" s="452"/>
      <c r="G214" s="452"/>
      <c r="H214" s="452"/>
      <c r="I214" s="453"/>
    </row>
    <row r="215" spans="1:9" s="264" customFormat="1" ht="67.5">
      <c r="A215" s="215" t="s">
        <v>220</v>
      </c>
      <c r="B215" s="215">
        <v>100981</v>
      </c>
      <c r="C215" s="215" t="s">
        <v>146</v>
      </c>
      <c r="D215" s="219" t="s">
        <v>243</v>
      </c>
      <c r="E215" s="215" t="s">
        <v>287</v>
      </c>
      <c r="F215" s="255">
        <f>(F213*0.15)</f>
        <v>2.25</v>
      </c>
      <c r="G215" s="216"/>
      <c r="H215" s="140">
        <f>G215*(1+$I$9)</f>
        <v>0</v>
      </c>
      <c r="I215" s="216">
        <f>ROUND((F215*H215),2)</f>
        <v>0</v>
      </c>
    </row>
    <row r="216" spans="1:9" s="264" customFormat="1" ht="45">
      <c r="A216" s="215" t="s">
        <v>224</v>
      </c>
      <c r="B216" s="215">
        <v>97914</v>
      </c>
      <c r="C216" s="215" t="s">
        <v>146</v>
      </c>
      <c r="D216" s="219" t="s">
        <v>290</v>
      </c>
      <c r="E216" s="215" t="s">
        <v>288</v>
      </c>
      <c r="F216" s="254">
        <f>F215*20</f>
        <v>45</v>
      </c>
      <c r="G216" s="216"/>
      <c r="H216" s="140">
        <f>G216*(1+$I$9)</f>
        <v>0</v>
      </c>
      <c r="I216" s="216">
        <f>ROUND((F216*H216),2)</f>
        <v>0</v>
      </c>
    </row>
    <row r="217" spans="1:9" s="264" customFormat="1" ht="22.5">
      <c r="A217" s="215" t="s">
        <v>225</v>
      </c>
      <c r="B217" s="215" t="s">
        <v>282</v>
      </c>
      <c r="C217" s="215" t="s">
        <v>167</v>
      </c>
      <c r="D217" s="219" t="s">
        <v>244</v>
      </c>
      <c r="E217" s="215" t="s">
        <v>245</v>
      </c>
      <c r="F217" s="254">
        <f>F215*2.4</f>
        <v>5.3999999999999995</v>
      </c>
      <c r="G217" s="217"/>
      <c r="H217" s="140">
        <f>G217*(1+$I$9)</f>
        <v>0</v>
      </c>
      <c r="I217" s="216">
        <f>ROUND((F217*H217),2)</f>
        <v>0</v>
      </c>
    </row>
    <row r="218" spans="1:9" s="264" customFormat="1" ht="12.75" customHeight="1">
      <c r="A218" s="442" t="str">
        <f>CONCATENATE("SUBTOTAL ",A209)</f>
        <v>SUBTOTAL 1</v>
      </c>
      <c r="B218" s="443"/>
      <c r="C218" s="443"/>
      <c r="D218" s="443"/>
      <c r="E218" s="443"/>
      <c r="F218" s="443"/>
      <c r="G218" s="443"/>
      <c r="H218" s="444"/>
      <c r="I218" s="265">
        <f>SUM(I211:I217)</f>
        <v>0</v>
      </c>
    </row>
    <row r="219" spans="1:9" s="264" customFormat="1">
      <c r="A219" s="262">
        <v>2</v>
      </c>
      <c r="B219" s="448" t="s">
        <v>246</v>
      </c>
      <c r="C219" s="449"/>
      <c r="D219" s="449"/>
      <c r="E219" s="449"/>
      <c r="F219" s="449"/>
      <c r="G219" s="449"/>
      <c r="H219" s="449"/>
      <c r="I219" s="450"/>
    </row>
    <row r="220" spans="1:9" s="264" customFormat="1">
      <c r="A220" s="284" t="s">
        <v>8</v>
      </c>
      <c r="B220" s="451" t="s">
        <v>247</v>
      </c>
      <c r="C220" s="452"/>
      <c r="D220" s="452"/>
      <c r="E220" s="452"/>
      <c r="F220" s="452"/>
      <c r="G220" s="452"/>
      <c r="H220" s="452"/>
      <c r="I220" s="453"/>
    </row>
    <row r="221" spans="1:9" s="264" customFormat="1" ht="33.75">
      <c r="A221" s="215" t="s">
        <v>248</v>
      </c>
      <c r="B221" s="215">
        <v>70030060</v>
      </c>
      <c r="C221" s="215" t="s">
        <v>142</v>
      </c>
      <c r="D221" s="219" t="s">
        <v>249</v>
      </c>
      <c r="E221" s="215" t="s">
        <v>287</v>
      </c>
      <c r="F221" s="254">
        <f>(F213*1.3)+(2.5*2*1.3)</f>
        <v>26</v>
      </c>
      <c r="G221" s="217"/>
      <c r="H221" s="140">
        <f>G221*(1+$I$9)</f>
        <v>0</v>
      </c>
      <c r="I221" s="216">
        <f>ROUND((F221*H221),2)</f>
        <v>0</v>
      </c>
    </row>
    <row r="222" spans="1:9" s="264" customFormat="1">
      <c r="A222" s="284" t="s">
        <v>9</v>
      </c>
      <c r="B222" s="451" t="s">
        <v>250</v>
      </c>
      <c r="C222" s="452"/>
      <c r="D222" s="452"/>
      <c r="E222" s="452"/>
      <c r="F222" s="452"/>
      <c r="G222" s="452"/>
      <c r="H222" s="452"/>
      <c r="I222" s="453"/>
    </row>
    <row r="223" spans="1:9" s="264" customFormat="1" ht="45">
      <c r="A223" s="215" t="s">
        <v>251</v>
      </c>
      <c r="B223" s="215">
        <v>70030020</v>
      </c>
      <c r="C223" s="215" t="s">
        <v>142</v>
      </c>
      <c r="D223" s="219" t="s">
        <v>252</v>
      </c>
      <c r="E223" s="215" t="s">
        <v>287</v>
      </c>
      <c r="F223" s="254">
        <f>F221-(2*1.2*0.4)</f>
        <v>25.04</v>
      </c>
      <c r="G223" s="217"/>
      <c r="H223" s="140">
        <f>G223*(1+$I$9)</f>
        <v>0</v>
      </c>
      <c r="I223" s="216">
        <f>ROUND((F223*H223),2)</f>
        <v>0</v>
      </c>
    </row>
    <row r="224" spans="1:9" s="264" customFormat="1" ht="12.75" customHeight="1">
      <c r="A224" s="442" t="str">
        <f>CONCATENATE("SUBTOTAL ",A219)</f>
        <v>SUBTOTAL 2</v>
      </c>
      <c r="B224" s="443"/>
      <c r="C224" s="443"/>
      <c r="D224" s="443"/>
      <c r="E224" s="443"/>
      <c r="F224" s="443"/>
      <c r="G224" s="443"/>
      <c r="H224" s="444"/>
      <c r="I224" s="265">
        <f>SUM(I221:I223)</f>
        <v>0</v>
      </c>
    </row>
    <row r="225" spans="1:9" s="264" customFormat="1">
      <c r="A225" s="262">
        <v>3</v>
      </c>
      <c r="B225" s="448" t="s">
        <v>342</v>
      </c>
      <c r="C225" s="449"/>
      <c r="D225" s="449"/>
      <c r="E225" s="449"/>
      <c r="F225" s="449"/>
      <c r="G225" s="449"/>
      <c r="H225" s="449"/>
      <c r="I225" s="450"/>
    </row>
    <row r="226" spans="1:9" s="264" customFormat="1">
      <c r="A226" s="284" t="s">
        <v>135</v>
      </c>
      <c r="B226" s="451" t="s">
        <v>253</v>
      </c>
      <c r="C226" s="452"/>
      <c r="D226" s="452"/>
      <c r="E226" s="452"/>
      <c r="F226" s="452"/>
      <c r="G226" s="452"/>
      <c r="H226" s="452"/>
      <c r="I226" s="453"/>
    </row>
    <row r="227" spans="1:9" s="264" customFormat="1" ht="67.5">
      <c r="A227" s="215" t="s">
        <v>254</v>
      </c>
      <c r="B227" s="215">
        <v>7042</v>
      </c>
      <c r="C227" s="215" t="s">
        <v>146</v>
      </c>
      <c r="D227" s="219" t="s">
        <v>291</v>
      </c>
      <c r="E227" s="215" t="s">
        <v>255</v>
      </c>
      <c r="F227" s="254">
        <v>2</v>
      </c>
      <c r="G227" s="216"/>
      <c r="H227" s="140">
        <f>G227*(1+$I$9)</f>
        <v>0</v>
      </c>
      <c r="I227" s="216">
        <f>ROUND((F227*H227),2)</f>
        <v>0</v>
      </c>
    </row>
    <row r="228" spans="1:9" s="264" customFormat="1" ht="12.75" customHeight="1">
      <c r="A228" s="442" t="str">
        <f>CONCATENATE("SUBTOTAL ",A225)</f>
        <v>SUBTOTAL 3</v>
      </c>
      <c r="B228" s="443"/>
      <c r="C228" s="443"/>
      <c r="D228" s="443"/>
      <c r="E228" s="443"/>
      <c r="F228" s="443"/>
      <c r="G228" s="443"/>
      <c r="H228" s="444"/>
      <c r="I228" s="265">
        <f>SUM(I227)</f>
        <v>0</v>
      </c>
    </row>
    <row r="229" spans="1:9" s="264" customFormat="1">
      <c r="A229" s="262">
        <v>4</v>
      </c>
      <c r="B229" s="448" t="s">
        <v>256</v>
      </c>
      <c r="C229" s="449"/>
      <c r="D229" s="449"/>
      <c r="E229" s="449"/>
      <c r="F229" s="449"/>
      <c r="G229" s="449"/>
      <c r="H229" s="449"/>
      <c r="I229" s="450"/>
    </row>
    <row r="230" spans="1:9" s="264" customFormat="1">
      <c r="A230" s="284" t="s">
        <v>136</v>
      </c>
      <c r="B230" s="451" t="s">
        <v>257</v>
      </c>
      <c r="C230" s="452"/>
      <c r="D230" s="452"/>
      <c r="E230" s="452"/>
      <c r="F230" s="452"/>
      <c r="G230" s="452"/>
      <c r="H230" s="452"/>
      <c r="I230" s="453"/>
    </row>
    <row r="231" spans="1:9" s="264" customFormat="1" ht="56.25">
      <c r="A231" s="214" t="s">
        <v>258</v>
      </c>
      <c r="B231" s="215">
        <v>95995</v>
      </c>
      <c r="C231" s="215" t="s">
        <v>146</v>
      </c>
      <c r="D231" s="219" t="s">
        <v>259</v>
      </c>
      <c r="E231" s="214" t="s">
        <v>287</v>
      </c>
      <c r="F231" s="255">
        <f>F213*0.05</f>
        <v>0.75</v>
      </c>
      <c r="G231" s="217"/>
      <c r="H231" s="140">
        <f t="shared" ref="H231:H236" si="29">G231*(1+$I$9)</f>
        <v>0</v>
      </c>
      <c r="I231" s="216">
        <f>ROUND((F231*H231),2)</f>
        <v>0</v>
      </c>
    </row>
    <row r="232" spans="1:9" s="264" customFormat="1" ht="22.5">
      <c r="A232" s="214" t="s">
        <v>260</v>
      </c>
      <c r="B232" s="215">
        <v>100985</v>
      </c>
      <c r="C232" s="215" t="s">
        <v>146</v>
      </c>
      <c r="D232" s="219" t="s">
        <v>261</v>
      </c>
      <c r="E232" s="215" t="s">
        <v>287</v>
      </c>
      <c r="F232" s="254">
        <f>F231</f>
        <v>0.75</v>
      </c>
      <c r="G232" s="216"/>
      <c r="H232" s="140">
        <f t="shared" si="29"/>
        <v>0</v>
      </c>
      <c r="I232" s="216">
        <f t="shared" ref="I232:I236" si="30">ROUND((F232*H232),2)</f>
        <v>0</v>
      </c>
    </row>
    <row r="233" spans="1:9" s="264" customFormat="1" ht="45">
      <c r="A233" s="214" t="s">
        <v>262</v>
      </c>
      <c r="B233" s="215">
        <v>97914</v>
      </c>
      <c r="C233" s="215" t="s">
        <v>146</v>
      </c>
      <c r="D233" s="219" t="s">
        <v>263</v>
      </c>
      <c r="E233" s="215" t="s">
        <v>288</v>
      </c>
      <c r="F233" s="254">
        <f>F231*20</f>
        <v>15</v>
      </c>
      <c r="G233" s="216"/>
      <c r="H233" s="140">
        <f t="shared" si="29"/>
        <v>0</v>
      </c>
      <c r="I233" s="216">
        <f t="shared" si="30"/>
        <v>0</v>
      </c>
    </row>
    <row r="234" spans="1:9" s="264" customFormat="1">
      <c r="A234" s="214" t="s">
        <v>264</v>
      </c>
      <c r="B234" s="214" t="s">
        <v>283</v>
      </c>
      <c r="C234" s="214" t="s">
        <v>167</v>
      </c>
      <c r="D234" s="222" t="s">
        <v>265</v>
      </c>
      <c r="E234" s="214" t="s">
        <v>140</v>
      </c>
      <c r="F234" s="255">
        <f>F213</f>
        <v>15</v>
      </c>
      <c r="G234" s="216"/>
      <c r="H234" s="140">
        <f t="shared" si="29"/>
        <v>0</v>
      </c>
      <c r="I234" s="216">
        <f t="shared" si="30"/>
        <v>0</v>
      </c>
    </row>
    <row r="235" spans="1:9" s="264" customFormat="1" ht="22.5">
      <c r="A235" s="214" t="s">
        <v>266</v>
      </c>
      <c r="B235" s="214" t="s">
        <v>284</v>
      </c>
      <c r="C235" s="214" t="s">
        <v>167</v>
      </c>
      <c r="D235" s="222" t="s">
        <v>267</v>
      </c>
      <c r="E235" s="214" t="s">
        <v>286</v>
      </c>
      <c r="F235" s="255">
        <f>F234</f>
        <v>15</v>
      </c>
      <c r="G235" s="216"/>
      <c r="H235" s="140">
        <f t="shared" si="29"/>
        <v>0</v>
      </c>
      <c r="I235" s="216">
        <f t="shared" si="30"/>
        <v>0</v>
      </c>
    </row>
    <row r="236" spans="1:9" s="264" customFormat="1">
      <c r="A236" s="214" t="s">
        <v>268</v>
      </c>
      <c r="B236" s="214" t="s">
        <v>285</v>
      </c>
      <c r="C236" s="214" t="s">
        <v>167</v>
      </c>
      <c r="D236" s="222" t="s">
        <v>269</v>
      </c>
      <c r="E236" s="214" t="s">
        <v>287</v>
      </c>
      <c r="F236" s="255">
        <f>F213*0.1</f>
        <v>1.5</v>
      </c>
      <c r="G236" s="216"/>
      <c r="H236" s="140">
        <f t="shared" si="29"/>
        <v>0</v>
      </c>
      <c r="I236" s="216">
        <f t="shared" si="30"/>
        <v>0</v>
      </c>
    </row>
    <row r="237" spans="1:9" s="264" customFormat="1">
      <c r="A237" s="442" t="str">
        <f>CONCATENATE("SUBTOTAL ",A229)</f>
        <v>SUBTOTAL 4</v>
      </c>
      <c r="B237" s="443"/>
      <c r="C237" s="443"/>
      <c r="D237" s="443"/>
      <c r="E237" s="443"/>
      <c r="F237" s="443"/>
      <c r="G237" s="443"/>
      <c r="H237" s="444"/>
      <c r="I237" s="265">
        <f>SUM(I231:I236)</f>
        <v>0</v>
      </c>
    </row>
    <row r="238" spans="1:9" s="264" customFormat="1">
      <c r="A238" s="262">
        <v>5</v>
      </c>
      <c r="B238" s="448" t="s">
        <v>364</v>
      </c>
      <c r="C238" s="449"/>
      <c r="D238" s="449"/>
      <c r="E238" s="449"/>
      <c r="F238" s="449"/>
      <c r="G238" s="449"/>
      <c r="H238" s="449"/>
      <c r="I238" s="450"/>
    </row>
    <row r="239" spans="1:9" s="288" customFormat="1">
      <c r="A239" s="284" t="s">
        <v>137</v>
      </c>
      <c r="B239" s="451" t="s">
        <v>365</v>
      </c>
      <c r="C239" s="452"/>
      <c r="D239" s="452"/>
      <c r="E239" s="452"/>
      <c r="F239" s="452"/>
      <c r="G239" s="452"/>
      <c r="H239" s="452"/>
      <c r="I239" s="453"/>
    </row>
    <row r="240" spans="1:9" s="264" customFormat="1" ht="22.5">
      <c r="A240" s="229" t="s">
        <v>270</v>
      </c>
      <c r="B240" s="230">
        <v>70070039</v>
      </c>
      <c r="C240" s="137" t="s">
        <v>142</v>
      </c>
      <c r="D240" s="259" t="s">
        <v>367</v>
      </c>
      <c r="E240" s="252" t="s">
        <v>6</v>
      </c>
      <c r="F240" s="260">
        <v>2</v>
      </c>
      <c r="G240" s="261"/>
      <c r="H240" s="140">
        <f>G240*(1+$I$9)</f>
        <v>0</v>
      </c>
      <c r="I240" s="216">
        <f>ROUND((F240*H240),2)</f>
        <v>0</v>
      </c>
    </row>
    <row r="241" spans="1:9" s="264" customFormat="1" ht="22.5">
      <c r="A241" s="229" t="s">
        <v>271</v>
      </c>
      <c r="B241" s="230">
        <v>70070142</v>
      </c>
      <c r="C241" s="137" t="s">
        <v>142</v>
      </c>
      <c r="D241" s="259" t="s">
        <v>368</v>
      </c>
      <c r="E241" s="215" t="s">
        <v>287</v>
      </c>
      <c r="F241" s="260">
        <f>1.99*1.19*0.39</f>
        <v>0.92355900000000002</v>
      </c>
      <c r="G241" s="261"/>
      <c r="H241" s="140">
        <f>G241*(1+$I$9)</f>
        <v>0</v>
      </c>
      <c r="I241" s="216">
        <f>ROUND((F241*H241),2)</f>
        <v>0</v>
      </c>
    </row>
    <row r="242" spans="1:9" s="264" customFormat="1" ht="33.75">
      <c r="A242" s="229" t="s">
        <v>272</v>
      </c>
      <c r="B242" s="230">
        <v>70110024</v>
      </c>
      <c r="C242" s="137" t="s">
        <v>142</v>
      </c>
      <c r="D242" s="259" t="s">
        <v>155</v>
      </c>
      <c r="E242" s="252" t="s">
        <v>140</v>
      </c>
      <c r="F242" s="260">
        <f>((1.19*2)+(1.99*2))*0.39</f>
        <v>2.4803999999999999</v>
      </c>
      <c r="G242" s="261"/>
      <c r="H242" s="140">
        <f>G242*(1+$I$9)</f>
        <v>0</v>
      </c>
      <c r="I242" s="216">
        <f>ROUND((F242*H242),2)</f>
        <v>0</v>
      </c>
    </row>
    <row r="243" spans="1:9" s="288" customFormat="1">
      <c r="A243" s="284" t="s">
        <v>138</v>
      </c>
      <c r="B243" s="451" t="s">
        <v>366</v>
      </c>
      <c r="C243" s="452"/>
      <c r="D243" s="452"/>
      <c r="E243" s="452"/>
      <c r="F243" s="452"/>
      <c r="G243" s="452"/>
      <c r="H243" s="452"/>
      <c r="I243" s="453"/>
    </row>
    <row r="244" spans="1:9" s="264" customFormat="1" ht="22.5">
      <c r="A244" s="229" t="s">
        <v>279</v>
      </c>
      <c r="B244" s="230">
        <v>70110013</v>
      </c>
      <c r="C244" s="137" t="s">
        <v>142</v>
      </c>
      <c r="D244" s="259" t="s">
        <v>395</v>
      </c>
      <c r="E244" s="252" t="s">
        <v>140</v>
      </c>
      <c r="F244" s="260">
        <f>(1.6+0.6+0.6)*1.8</f>
        <v>5.0400000000000009</v>
      </c>
      <c r="G244" s="261"/>
      <c r="H244" s="140">
        <f>G244*(1+$I$9)</f>
        <v>0</v>
      </c>
      <c r="I244" s="216">
        <f>ROUND((F244*H244),2)</f>
        <v>0</v>
      </c>
    </row>
    <row r="245" spans="1:9" s="288" customFormat="1">
      <c r="A245" s="284" t="s">
        <v>354</v>
      </c>
      <c r="B245" s="451" t="s">
        <v>371</v>
      </c>
      <c r="C245" s="452"/>
      <c r="D245" s="452"/>
      <c r="E245" s="452"/>
      <c r="F245" s="452"/>
      <c r="G245" s="452"/>
      <c r="H245" s="452"/>
      <c r="I245" s="453"/>
    </row>
    <row r="246" spans="1:9" s="264" customFormat="1">
      <c r="A246" s="229" t="s">
        <v>355</v>
      </c>
      <c r="B246" s="230">
        <v>70070126</v>
      </c>
      <c r="C246" s="137" t="s">
        <v>142</v>
      </c>
      <c r="D246" s="259" t="s">
        <v>369</v>
      </c>
      <c r="E246" s="252" t="s">
        <v>140</v>
      </c>
      <c r="F246" s="260">
        <f>(1.6*0.95)+(1.6+1.6+0.95+0.95)*0.1</f>
        <v>2.0300000000000002</v>
      </c>
      <c r="G246" s="261"/>
      <c r="H246" s="140">
        <f>G246*(1+$I$9)</f>
        <v>0</v>
      </c>
      <c r="I246" s="216">
        <f>ROUND((F246*H246),2)</f>
        <v>0</v>
      </c>
    </row>
    <row r="247" spans="1:9" s="264" customFormat="1" ht="22.5">
      <c r="A247" s="229" t="s">
        <v>370</v>
      </c>
      <c r="B247" s="230">
        <v>70070142</v>
      </c>
      <c r="C247" s="137" t="s">
        <v>142</v>
      </c>
      <c r="D247" s="259" t="s">
        <v>368</v>
      </c>
      <c r="E247" s="215" t="s">
        <v>287</v>
      </c>
      <c r="F247" s="260">
        <f>1.6*0.95*0.1</f>
        <v>0.15200000000000002</v>
      </c>
      <c r="G247" s="261"/>
      <c r="H247" s="140">
        <f>G247*(1+$I$9)</f>
        <v>0</v>
      </c>
      <c r="I247" s="216">
        <f>ROUND((F247*H247),2)</f>
        <v>0</v>
      </c>
    </row>
    <row r="248" spans="1:9" s="264" customFormat="1" ht="11.25" customHeight="1">
      <c r="A248" s="442" t="s">
        <v>356</v>
      </c>
      <c r="B248" s="443"/>
      <c r="C248" s="443"/>
      <c r="D248" s="443"/>
      <c r="E248" s="443"/>
      <c r="F248" s="443"/>
      <c r="G248" s="443"/>
      <c r="H248" s="444"/>
      <c r="I248" s="265">
        <f>SUM(I239:I247)</f>
        <v>0</v>
      </c>
    </row>
    <row r="249" spans="1:9" s="264" customFormat="1">
      <c r="A249" s="262">
        <v>6</v>
      </c>
      <c r="B249" s="448" t="s">
        <v>360</v>
      </c>
      <c r="C249" s="449"/>
      <c r="D249" s="449"/>
      <c r="E249" s="449"/>
      <c r="F249" s="449"/>
      <c r="G249" s="449"/>
      <c r="H249" s="449"/>
      <c r="I249" s="450"/>
    </row>
    <row r="250" spans="1:9" s="288" customFormat="1">
      <c r="A250" s="284" t="s">
        <v>139</v>
      </c>
      <c r="B250" s="451" t="s">
        <v>361</v>
      </c>
      <c r="C250" s="452"/>
      <c r="D250" s="452"/>
      <c r="E250" s="452"/>
      <c r="F250" s="452"/>
      <c r="G250" s="452"/>
      <c r="H250" s="452"/>
      <c r="I250" s="453"/>
    </row>
    <row r="251" spans="1:9" s="264" customFormat="1" ht="22.5">
      <c r="A251" s="229" t="s">
        <v>299</v>
      </c>
      <c r="B251" s="188" t="s">
        <v>396</v>
      </c>
      <c r="C251" s="137" t="s">
        <v>142</v>
      </c>
      <c r="D251" s="266" t="s">
        <v>397</v>
      </c>
      <c r="E251" s="267" t="s">
        <v>5</v>
      </c>
      <c r="F251" s="268">
        <v>2</v>
      </c>
      <c r="G251" s="269"/>
      <c r="H251" s="140">
        <f t="shared" ref="H251:H259" si="31">G251*(1+$I$9)</f>
        <v>0</v>
      </c>
      <c r="I251" s="216">
        <f t="shared" ref="I251:I256" si="32">ROUND((F251*H251),2)</f>
        <v>0</v>
      </c>
    </row>
    <row r="252" spans="1:9" s="264" customFormat="1" ht="22.5">
      <c r="A252" s="229" t="s">
        <v>300</v>
      </c>
      <c r="B252" s="230">
        <v>12428</v>
      </c>
      <c r="C252" s="137" t="s">
        <v>146</v>
      </c>
      <c r="D252" s="259" t="s">
        <v>398</v>
      </c>
      <c r="E252" s="252" t="s">
        <v>5</v>
      </c>
      <c r="F252" s="260">
        <v>2</v>
      </c>
      <c r="G252" s="261"/>
      <c r="H252" s="140">
        <f t="shared" si="31"/>
        <v>0</v>
      </c>
      <c r="I252" s="216">
        <f t="shared" si="32"/>
        <v>0</v>
      </c>
    </row>
    <row r="253" spans="1:9" s="264" customFormat="1" ht="22.5">
      <c r="A253" s="229" t="s">
        <v>301</v>
      </c>
      <c r="B253" s="230" t="s">
        <v>147</v>
      </c>
      <c r="C253" s="137" t="s">
        <v>142</v>
      </c>
      <c r="D253" s="259" t="s">
        <v>405</v>
      </c>
      <c r="E253" s="252" t="s">
        <v>5</v>
      </c>
      <c r="F253" s="260">
        <v>3</v>
      </c>
      <c r="G253" s="261"/>
      <c r="H253" s="140">
        <f t="shared" si="31"/>
        <v>0</v>
      </c>
      <c r="I253" s="216">
        <f t="shared" si="32"/>
        <v>0</v>
      </c>
    </row>
    <row r="254" spans="1:9" s="294" customFormat="1" ht="22.5">
      <c r="A254" s="229" t="s">
        <v>302</v>
      </c>
      <c r="B254" s="230" t="s">
        <v>413</v>
      </c>
      <c r="C254" s="137" t="s">
        <v>167</v>
      </c>
      <c r="D254" s="293" t="s">
        <v>414</v>
      </c>
      <c r="E254" s="252" t="s">
        <v>5</v>
      </c>
      <c r="F254" s="260">
        <v>3</v>
      </c>
      <c r="G254" s="261"/>
      <c r="H254" s="140">
        <f t="shared" si="31"/>
        <v>0</v>
      </c>
      <c r="I254" s="217">
        <f t="shared" si="32"/>
        <v>0</v>
      </c>
    </row>
    <row r="255" spans="1:9" s="264" customFormat="1" ht="22.5">
      <c r="A255" s="229" t="s">
        <v>303</v>
      </c>
      <c r="B255" s="230">
        <v>3266</v>
      </c>
      <c r="C255" s="137" t="s">
        <v>146</v>
      </c>
      <c r="D255" s="259" t="s">
        <v>406</v>
      </c>
      <c r="E255" s="252" t="s">
        <v>5</v>
      </c>
      <c r="F255" s="260">
        <v>2</v>
      </c>
      <c r="G255" s="261"/>
      <c r="H255" s="140">
        <f t="shared" si="31"/>
        <v>0</v>
      </c>
      <c r="I255" s="216">
        <f t="shared" si="32"/>
        <v>0</v>
      </c>
    </row>
    <row r="256" spans="1:9" s="294" customFormat="1" ht="22.5">
      <c r="A256" s="229" t="s">
        <v>304</v>
      </c>
      <c r="B256" s="230" t="s">
        <v>213</v>
      </c>
      <c r="C256" s="152" t="s">
        <v>167</v>
      </c>
      <c r="D256" s="295" t="s">
        <v>415</v>
      </c>
      <c r="E256" s="252" t="s">
        <v>5</v>
      </c>
      <c r="F256" s="260">
        <v>1</v>
      </c>
      <c r="G256" s="261"/>
      <c r="H256" s="140">
        <f t="shared" si="31"/>
        <v>0</v>
      </c>
      <c r="I256" s="217">
        <f t="shared" si="32"/>
        <v>0</v>
      </c>
    </row>
    <row r="257" spans="1:9" s="264" customFormat="1" ht="22.5">
      <c r="A257" s="229" t="s">
        <v>305</v>
      </c>
      <c r="B257" s="230">
        <v>771</v>
      </c>
      <c r="C257" s="137" t="s">
        <v>146</v>
      </c>
      <c r="D257" s="259" t="s">
        <v>407</v>
      </c>
      <c r="E257" s="252" t="s">
        <v>5</v>
      </c>
      <c r="F257" s="260">
        <v>1</v>
      </c>
      <c r="G257" s="261"/>
      <c r="H257" s="140">
        <f t="shared" si="31"/>
        <v>0</v>
      </c>
      <c r="I257" s="216">
        <f>ROUND((F257*H257),2)</f>
        <v>0</v>
      </c>
    </row>
    <row r="258" spans="1:9" s="264" customFormat="1" ht="22.5">
      <c r="A258" s="229" t="s">
        <v>306</v>
      </c>
      <c r="B258" s="230" t="s">
        <v>151</v>
      </c>
      <c r="C258" s="137" t="s">
        <v>142</v>
      </c>
      <c r="D258" s="259" t="s">
        <v>408</v>
      </c>
      <c r="E258" s="252" t="s">
        <v>5</v>
      </c>
      <c r="F258" s="260">
        <v>1</v>
      </c>
      <c r="G258" s="261"/>
      <c r="H258" s="140">
        <f t="shared" si="31"/>
        <v>0</v>
      </c>
      <c r="I258" s="216">
        <f>ROUND((F258*H258),2)</f>
        <v>0</v>
      </c>
    </row>
    <row r="259" spans="1:9" s="264" customFormat="1" ht="22.5">
      <c r="A259" s="229" t="s">
        <v>307</v>
      </c>
      <c r="B259" s="230" t="s">
        <v>153</v>
      </c>
      <c r="C259" s="137" t="s">
        <v>142</v>
      </c>
      <c r="D259" s="259" t="s">
        <v>409</v>
      </c>
      <c r="E259" s="252" t="s">
        <v>6</v>
      </c>
      <c r="F259" s="260">
        <v>6</v>
      </c>
      <c r="G259" s="261"/>
      <c r="H259" s="140">
        <f t="shared" si="31"/>
        <v>0</v>
      </c>
      <c r="I259" s="216">
        <f>ROUND((F259*H259),2)</f>
        <v>0</v>
      </c>
    </row>
    <row r="260" spans="1:9" s="288" customFormat="1">
      <c r="A260" s="284" t="s">
        <v>372</v>
      </c>
      <c r="B260" s="451" t="s">
        <v>362</v>
      </c>
      <c r="C260" s="452"/>
      <c r="D260" s="452"/>
      <c r="E260" s="452"/>
      <c r="F260" s="452"/>
      <c r="G260" s="452"/>
      <c r="H260" s="452"/>
      <c r="I260" s="453"/>
    </row>
    <row r="261" spans="1:9" s="264" customFormat="1" ht="22.5">
      <c r="A261" s="229" t="s">
        <v>373</v>
      </c>
      <c r="B261" s="230">
        <v>3825</v>
      </c>
      <c r="C261" s="137" t="s">
        <v>146</v>
      </c>
      <c r="D261" s="291" t="s">
        <v>399</v>
      </c>
      <c r="E261" s="252" t="s">
        <v>5</v>
      </c>
      <c r="F261" s="260">
        <v>2</v>
      </c>
      <c r="G261" s="292"/>
      <c r="H261" s="140">
        <f>G261*(1+$I$9)</f>
        <v>0</v>
      </c>
      <c r="I261" s="216">
        <f t="shared" ref="I261:I263" si="33">ROUND((F261*H261),2)</f>
        <v>0</v>
      </c>
    </row>
    <row r="262" spans="1:9" s="264" customFormat="1" ht="22.5">
      <c r="A262" s="229" t="s">
        <v>374</v>
      </c>
      <c r="B262" s="230">
        <v>3837</v>
      </c>
      <c r="C262" s="137" t="s">
        <v>146</v>
      </c>
      <c r="D262" s="334" t="s">
        <v>400</v>
      </c>
      <c r="E262" s="267" t="s">
        <v>5</v>
      </c>
      <c r="F262" s="268">
        <v>2</v>
      </c>
      <c r="G262" s="290"/>
      <c r="H262" s="140">
        <f>G262*(1+$I$9)</f>
        <v>0</v>
      </c>
      <c r="I262" s="216">
        <f t="shared" si="33"/>
        <v>0</v>
      </c>
    </row>
    <row r="263" spans="1:9" s="264" customFormat="1" ht="33.75">
      <c r="A263" s="229" t="s">
        <v>375</v>
      </c>
      <c r="B263" s="230">
        <v>11378</v>
      </c>
      <c r="C263" s="137" t="s">
        <v>146</v>
      </c>
      <c r="D263" s="259" t="s">
        <v>401</v>
      </c>
      <c r="E263" s="252" t="s">
        <v>5</v>
      </c>
      <c r="F263" s="260">
        <v>2</v>
      </c>
      <c r="G263" s="261"/>
      <c r="H263" s="140">
        <f>G263*(1+$I$9)</f>
        <v>0</v>
      </c>
      <c r="I263" s="216">
        <f t="shared" si="33"/>
        <v>0</v>
      </c>
    </row>
    <row r="264" spans="1:9" s="264" customFormat="1" ht="33.75">
      <c r="A264" s="229" t="s">
        <v>402</v>
      </c>
      <c r="B264" s="272">
        <v>36378</v>
      </c>
      <c r="C264" s="137" t="s">
        <v>146</v>
      </c>
      <c r="D264" s="273" t="s">
        <v>347</v>
      </c>
      <c r="E264" s="252" t="s">
        <v>6</v>
      </c>
      <c r="F264" s="260">
        <f>10*2</f>
        <v>20</v>
      </c>
      <c r="G264" s="269"/>
      <c r="H264" s="140">
        <f>G264*(1+$I$9)</f>
        <v>0</v>
      </c>
      <c r="I264" s="216">
        <f>ROUND((F264*H264),2)</f>
        <v>0</v>
      </c>
    </row>
    <row r="265" spans="1:9" s="288" customFormat="1">
      <c r="A265" s="284" t="s">
        <v>69</v>
      </c>
      <c r="B265" s="451" t="s">
        <v>363</v>
      </c>
      <c r="C265" s="452"/>
      <c r="D265" s="452"/>
      <c r="E265" s="452"/>
      <c r="F265" s="452"/>
      <c r="G265" s="452"/>
      <c r="H265" s="452"/>
      <c r="I265" s="453"/>
    </row>
    <row r="266" spans="1:9" s="264" customFormat="1" ht="33.75">
      <c r="A266" s="229" t="s">
        <v>376</v>
      </c>
      <c r="B266" s="230" t="s">
        <v>148</v>
      </c>
      <c r="C266" s="137" t="s">
        <v>142</v>
      </c>
      <c r="D266" s="259" t="s">
        <v>410</v>
      </c>
      <c r="E266" s="252" t="s">
        <v>5</v>
      </c>
      <c r="F266" s="260">
        <v>2</v>
      </c>
      <c r="G266" s="261"/>
      <c r="H266" s="140">
        <f>G266*(1+$I$9)</f>
        <v>0</v>
      </c>
      <c r="I266" s="216">
        <f>ROUND((F266*H266),2)</f>
        <v>0</v>
      </c>
    </row>
    <row r="267" spans="1:9" s="264" customFormat="1" ht="33.75">
      <c r="A267" s="229" t="s">
        <v>377</v>
      </c>
      <c r="B267" s="230" t="s">
        <v>152</v>
      </c>
      <c r="C267" s="137" t="s">
        <v>142</v>
      </c>
      <c r="D267" s="259" t="s">
        <v>435</v>
      </c>
      <c r="E267" s="252" t="s">
        <v>5</v>
      </c>
      <c r="F267" s="260">
        <v>1</v>
      </c>
      <c r="G267" s="261"/>
      <c r="H267" s="140">
        <f>G267*(1+$I$9)</f>
        <v>0</v>
      </c>
      <c r="I267" s="216">
        <f t="shared" ref="I267" si="34">ROUND((F267*H267),2)</f>
        <v>0</v>
      </c>
    </row>
    <row r="268" spans="1:9" s="264" customFormat="1" ht="22.5">
      <c r="A268" s="229" t="s">
        <v>378</v>
      </c>
      <c r="B268" s="230" t="s">
        <v>150</v>
      </c>
      <c r="C268" s="137" t="s">
        <v>142</v>
      </c>
      <c r="D268" s="259" t="s">
        <v>411</v>
      </c>
      <c r="E268" s="252" t="s">
        <v>5</v>
      </c>
      <c r="F268" s="260">
        <v>1</v>
      </c>
      <c r="G268" s="261"/>
      <c r="H268" s="140">
        <f>G268*(1+$I$9)</f>
        <v>0</v>
      </c>
      <c r="I268" s="216">
        <f>ROUND((F268*H268),2)</f>
        <v>0</v>
      </c>
    </row>
    <row r="269" spans="1:9" s="264" customFormat="1" ht="33.75">
      <c r="A269" s="229" t="s">
        <v>379</v>
      </c>
      <c r="B269" s="230" t="s">
        <v>149</v>
      </c>
      <c r="C269" s="152" t="s">
        <v>142</v>
      </c>
      <c r="D269" s="258" t="s">
        <v>412</v>
      </c>
      <c r="E269" s="252" t="s">
        <v>5</v>
      </c>
      <c r="F269" s="260">
        <v>1</v>
      </c>
      <c r="G269" s="261"/>
      <c r="H269" s="140">
        <f>G269*(1+$I$9)</f>
        <v>0</v>
      </c>
      <c r="I269" s="216">
        <f>ROUND((F269*H269),2)</f>
        <v>0</v>
      </c>
    </row>
    <row r="270" spans="1:9" s="288" customFormat="1">
      <c r="A270" s="284" t="s">
        <v>70</v>
      </c>
      <c r="B270" s="451" t="s">
        <v>383</v>
      </c>
      <c r="C270" s="452"/>
      <c r="D270" s="452"/>
      <c r="E270" s="452"/>
      <c r="F270" s="452"/>
      <c r="G270" s="452"/>
      <c r="H270" s="452"/>
      <c r="I270" s="453"/>
    </row>
    <row r="271" spans="1:9" s="264" customFormat="1" ht="33.75">
      <c r="A271" s="229" t="s">
        <v>386</v>
      </c>
      <c r="B271" s="246" t="s">
        <v>384</v>
      </c>
      <c r="C271" s="137" t="s">
        <v>167</v>
      </c>
      <c r="D271" s="271" t="s">
        <v>385</v>
      </c>
      <c r="E271" s="267" t="s">
        <v>6</v>
      </c>
      <c r="F271" s="268">
        <f>F259</f>
        <v>6</v>
      </c>
      <c r="G271" s="269"/>
      <c r="H271" s="140">
        <f>G271*(1+$I$9)</f>
        <v>0</v>
      </c>
      <c r="I271" s="216">
        <f t="shared" ref="I271" si="35">ROUND((F271*H271),2)</f>
        <v>0</v>
      </c>
    </row>
    <row r="272" spans="1:9" s="288" customFormat="1">
      <c r="A272" s="284" t="s">
        <v>71</v>
      </c>
      <c r="B272" s="451" t="s">
        <v>352</v>
      </c>
      <c r="C272" s="452"/>
      <c r="D272" s="452"/>
      <c r="E272" s="452"/>
      <c r="F272" s="452"/>
      <c r="G272" s="452"/>
      <c r="H272" s="452"/>
      <c r="I272" s="453"/>
    </row>
    <row r="273" spans="1:9" s="264" customFormat="1" ht="79.5" customHeight="1">
      <c r="A273" s="229" t="s">
        <v>387</v>
      </c>
      <c r="B273" s="246">
        <v>105367</v>
      </c>
      <c r="C273" s="137" t="s">
        <v>146</v>
      </c>
      <c r="D273" s="271" t="s">
        <v>381</v>
      </c>
      <c r="E273" s="267" t="s">
        <v>5</v>
      </c>
      <c r="F273" s="268">
        <f>F263</f>
        <v>2</v>
      </c>
      <c r="G273" s="269"/>
      <c r="H273" s="140">
        <f>G273*(1+$I$9)</f>
        <v>0</v>
      </c>
      <c r="I273" s="216">
        <f t="shared" ref="I273:I276" si="36">ROUND((F273*H273),2)</f>
        <v>0</v>
      </c>
    </row>
    <row r="274" spans="1:9" s="264" customFormat="1" ht="79.5" customHeight="1">
      <c r="A274" s="229" t="s">
        <v>388</v>
      </c>
      <c r="B274" s="246">
        <v>105286</v>
      </c>
      <c r="C274" s="137" t="s">
        <v>146</v>
      </c>
      <c r="D274" s="271" t="s">
        <v>382</v>
      </c>
      <c r="E274" s="267" t="s">
        <v>5</v>
      </c>
      <c r="F274" s="268">
        <f>F261</f>
        <v>2</v>
      </c>
      <c r="G274" s="269"/>
      <c r="H274" s="140">
        <f>G274*(1+$I$9)</f>
        <v>0</v>
      </c>
      <c r="I274" s="216">
        <f t="shared" si="36"/>
        <v>0</v>
      </c>
    </row>
    <row r="275" spans="1:9" s="264" customFormat="1" ht="79.5" customHeight="1">
      <c r="A275" s="229" t="s">
        <v>389</v>
      </c>
      <c r="B275" s="246">
        <v>105290</v>
      </c>
      <c r="C275" s="137" t="s">
        <v>146</v>
      </c>
      <c r="D275" s="271" t="s">
        <v>403</v>
      </c>
      <c r="E275" s="267" t="s">
        <v>5</v>
      </c>
      <c r="F275" s="268">
        <f>F262</f>
        <v>2</v>
      </c>
      <c r="G275" s="269"/>
      <c r="H275" s="140">
        <f>G275*(1+$I$9)</f>
        <v>0</v>
      </c>
      <c r="I275" s="216">
        <f t="shared" si="36"/>
        <v>0</v>
      </c>
    </row>
    <row r="276" spans="1:9" s="264" customFormat="1" ht="67.5">
      <c r="A276" s="229" t="s">
        <v>404</v>
      </c>
      <c r="B276" s="246">
        <v>97121</v>
      </c>
      <c r="C276" s="137" t="s">
        <v>146</v>
      </c>
      <c r="D276" s="271" t="s">
        <v>349</v>
      </c>
      <c r="E276" s="267" t="s">
        <v>5</v>
      </c>
      <c r="F276" s="268">
        <f>F264</f>
        <v>20</v>
      </c>
      <c r="G276" s="269"/>
      <c r="H276" s="140">
        <f>G276*(1+$I$9)</f>
        <v>0</v>
      </c>
      <c r="I276" s="216">
        <f t="shared" si="36"/>
        <v>0</v>
      </c>
    </row>
    <row r="277" spans="1:9" s="288" customFormat="1" ht="11.25" customHeight="1">
      <c r="A277" s="284" t="s">
        <v>72</v>
      </c>
      <c r="B277" s="451" t="s">
        <v>390</v>
      </c>
      <c r="C277" s="452"/>
      <c r="D277" s="452"/>
      <c r="E277" s="452"/>
      <c r="F277" s="452"/>
      <c r="G277" s="452"/>
      <c r="H277" s="452"/>
      <c r="I277" s="453"/>
    </row>
    <row r="278" spans="1:9" s="264" customFormat="1" ht="22.5">
      <c r="A278" s="229" t="s">
        <v>391</v>
      </c>
      <c r="B278" s="246">
        <v>70140057</v>
      </c>
      <c r="C278" s="137" t="s">
        <v>142</v>
      </c>
      <c r="D278" s="271" t="s">
        <v>393</v>
      </c>
      <c r="E278" s="267" t="s">
        <v>5</v>
      </c>
      <c r="F278" s="268">
        <f>F266+F267</f>
        <v>3</v>
      </c>
      <c r="G278" s="269"/>
      <c r="H278" s="140">
        <f>G278*(1+$I$9)</f>
        <v>0</v>
      </c>
      <c r="I278" s="216">
        <f t="shared" ref="I278:I279" si="37">ROUND((F278*H278),2)</f>
        <v>0</v>
      </c>
    </row>
    <row r="279" spans="1:9" s="264" customFormat="1" ht="22.5">
      <c r="A279" s="229" t="s">
        <v>392</v>
      </c>
      <c r="B279" s="246">
        <v>70140072</v>
      </c>
      <c r="C279" s="137" t="s">
        <v>142</v>
      </c>
      <c r="D279" s="271" t="s">
        <v>394</v>
      </c>
      <c r="E279" s="267" t="s">
        <v>5</v>
      </c>
      <c r="F279" s="268">
        <f>F269</f>
        <v>1</v>
      </c>
      <c r="G279" s="269"/>
      <c r="H279" s="140">
        <f>G279*(1+$I$9)</f>
        <v>0</v>
      </c>
      <c r="I279" s="216">
        <f t="shared" si="37"/>
        <v>0</v>
      </c>
    </row>
    <row r="280" spans="1:9" s="264" customFormat="1" ht="12.75" customHeight="1">
      <c r="A280" s="442" t="str">
        <f>CONCATENATE("SUBTOTAL ",A249)</f>
        <v>SUBTOTAL 6</v>
      </c>
      <c r="B280" s="443"/>
      <c r="C280" s="443"/>
      <c r="D280" s="443"/>
      <c r="E280" s="443"/>
      <c r="F280" s="443"/>
      <c r="G280" s="443"/>
      <c r="H280" s="444"/>
      <c r="I280" s="265">
        <f>SUM(I251:I279)</f>
        <v>0</v>
      </c>
    </row>
    <row r="281" spans="1:9" ht="18" customHeight="1">
      <c r="A281" s="423" t="s">
        <v>437</v>
      </c>
      <c r="B281" s="424"/>
      <c r="C281" s="424"/>
      <c r="D281" s="424"/>
      <c r="E281" s="424"/>
      <c r="F281" s="424"/>
      <c r="G281" s="424"/>
      <c r="H281" s="425"/>
      <c r="I281" s="257">
        <f>I280+I248+I237+I228+I224+I218</f>
        <v>0</v>
      </c>
    </row>
    <row r="282" spans="1:9" s="134" customFormat="1" ht="16.5" customHeight="1">
      <c r="A282" s="460" t="s">
        <v>129</v>
      </c>
      <c r="B282" s="461"/>
      <c r="C282" s="461"/>
      <c r="D282" s="461"/>
      <c r="E282" s="461"/>
      <c r="F282" s="461"/>
      <c r="G282" s="461"/>
      <c r="H282" s="461"/>
      <c r="I282" s="462"/>
    </row>
    <row r="283" spans="1:9" s="134" customFormat="1" ht="33.75">
      <c r="A283" s="274" t="s">
        <v>1</v>
      </c>
      <c r="B283" s="274" t="s">
        <v>3</v>
      </c>
      <c r="C283" s="274" t="s">
        <v>15</v>
      </c>
      <c r="D283" s="274" t="s">
        <v>2</v>
      </c>
      <c r="E283" s="274" t="s">
        <v>316</v>
      </c>
      <c r="F283" s="275" t="s">
        <v>158</v>
      </c>
      <c r="G283" s="276" t="s">
        <v>159</v>
      </c>
      <c r="H283" s="276" t="s">
        <v>160</v>
      </c>
      <c r="I283" s="277" t="s">
        <v>161</v>
      </c>
    </row>
    <row r="284" spans="1:9" s="135" customFormat="1" ht="12" customHeight="1">
      <c r="A284" s="150">
        <v>1</v>
      </c>
      <c r="B284" s="169" t="s">
        <v>238</v>
      </c>
      <c r="C284" s="170"/>
      <c r="D284" s="170"/>
      <c r="E284" s="170"/>
      <c r="F284" s="253"/>
      <c r="G284" s="170"/>
      <c r="H284" s="220"/>
      <c r="I284" s="171"/>
    </row>
    <row r="285" spans="1:9" s="135" customFormat="1" ht="12" customHeight="1">
      <c r="A285" s="278" t="s">
        <v>4</v>
      </c>
      <c r="B285" s="279" t="s">
        <v>239</v>
      </c>
      <c r="C285" s="280"/>
      <c r="D285" s="280"/>
      <c r="E285" s="280"/>
      <c r="F285" s="281"/>
      <c r="G285" s="280"/>
      <c r="H285" s="282"/>
      <c r="I285" s="283"/>
    </row>
    <row r="286" spans="1:9" s="264" customFormat="1">
      <c r="A286" s="215" t="s">
        <v>162</v>
      </c>
      <c r="B286" s="214">
        <v>70020004</v>
      </c>
      <c r="C286" s="214" t="s">
        <v>142</v>
      </c>
      <c r="D286" s="222" t="s">
        <v>240</v>
      </c>
      <c r="E286" s="215" t="s">
        <v>6</v>
      </c>
      <c r="F286" s="254">
        <v>30</v>
      </c>
      <c r="G286" s="216"/>
      <c r="H286" s="140">
        <f>G286*(1+$I$9)</f>
        <v>0</v>
      </c>
      <c r="I286" s="216">
        <f>ROUND((F286*H286),2)</f>
        <v>0</v>
      </c>
    </row>
    <row r="287" spans="1:9" s="264" customFormat="1" ht="12.75" customHeight="1">
      <c r="A287" s="442" t="str">
        <f>CONCATENATE("SUBTOTAL ",A284)</f>
        <v>SUBTOTAL 1</v>
      </c>
      <c r="B287" s="443"/>
      <c r="C287" s="443"/>
      <c r="D287" s="443"/>
      <c r="E287" s="443"/>
      <c r="F287" s="443"/>
      <c r="G287" s="443"/>
      <c r="H287" s="444"/>
      <c r="I287" s="265">
        <f>SUM(I286:I286)</f>
        <v>0</v>
      </c>
    </row>
    <row r="288" spans="1:9" s="264" customFormat="1">
      <c r="A288" s="262">
        <v>2</v>
      </c>
      <c r="B288" s="448" t="s">
        <v>246</v>
      </c>
      <c r="C288" s="449"/>
      <c r="D288" s="449"/>
      <c r="E288" s="449"/>
      <c r="F288" s="449"/>
      <c r="G288" s="449"/>
      <c r="H288" s="449"/>
      <c r="I288" s="450"/>
    </row>
    <row r="289" spans="1:9" s="264" customFormat="1">
      <c r="A289" s="284" t="s">
        <v>8</v>
      </c>
      <c r="B289" s="451" t="s">
        <v>247</v>
      </c>
      <c r="C289" s="452"/>
      <c r="D289" s="452"/>
      <c r="E289" s="452"/>
      <c r="F289" s="452"/>
      <c r="G289" s="452"/>
      <c r="H289" s="452"/>
      <c r="I289" s="453"/>
    </row>
    <row r="290" spans="1:9" s="264" customFormat="1" ht="33.75">
      <c r="A290" s="215" t="s">
        <v>248</v>
      </c>
      <c r="B290" s="215">
        <v>70030060</v>
      </c>
      <c r="C290" s="215" t="s">
        <v>142</v>
      </c>
      <c r="D290" s="219" t="s">
        <v>249</v>
      </c>
      <c r="E290" s="215" t="s">
        <v>287</v>
      </c>
      <c r="F290" s="254">
        <f>(2*7.5*1.3)+(2.5*2*1.3)</f>
        <v>26</v>
      </c>
      <c r="G290" s="217"/>
      <c r="H290" s="140">
        <f>G290*(1+$I$9)</f>
        <v>0</v>
      </c>
      <c r="I290" s="216">
        <f>ROUND((F290*H290),2)</f>
        <v>0</v>
      </c>
    </row>
    <row r="291" spans="1:9" s="264" customFormat="1">
      <c r="A291" s="284" t="s">
        <v>9</v>
      </c>
      <c r="B291" s="451" t="s">
        <v>250</v>
      </c>
      <c r="C291" s="452"/>
      <c r="D291" s="452"/>
      <c r="E291" s="452"/>
      <c r="F291" s="452"/>
      <c r="G291" s="452"/>
      <c r="H291" s="452"/>
      <c r="I291" s="453"/>
    </row>
    <row r="292" spans="1:9" s="264" customFormat="1" ht="45">
      <c r="A292" s="215" t="s">
        <v>251</v>
      </c>
      <c r="B292" s="215">
        <v>70030020</v>
      </c>
      <c r="C292" s="215" t="s">
        <v>142</v>
      </c>
      <c r="D292" s="219" t="s">
        <v>252</v>
      </c>
      <c r="E292" s="215" t="s">
        <v>287</v>
      </c>
      <c r="F292" s="254">
        <f>F290-(2*1.2*0.4)</f>
        <v>25.04</v>
      </c>
      <c r="G292" s="217"/>
      <c r="H292" s="140">
        <f>G292*(1+$I$9)</f>
        <v>0</v>
      </c>
      <c r="I292" s="216">
        <f>ROUND((F292*H292),2)</f>
        <v>0</v>
      </c>
    </row>
    <row r="293" spans="1:9" s="264" customFormat="1" ht="12.75" customHeight="1">
      <c r="A293" s="442" t="str">
        <f>CONCATENATE("SUBTOTAL ",A288)</f>
        <v>SUBTOTAL 2</v>
      </c>
      <c r="B293" s="443"/>
      <c r="C293" s="443"/>
      <c r="D293" s="443"/>
      <c r="E293" s="443"/>
      <c r="F293" s="443"/>
      <c r="G293" s="443"/>
      <c r="H293" s="444"/>
      <c r="I293" s="265">
        <f>SUM(I290:I292)</f>
        <v>0</v>
      </c>
    </row>
    <row r="294" spans="1:9" s="264" customFormat="1">
      <c r="A294" s="262">
        <v>3</v>
      </c>
      <c r="B294" s="448" t="s">
        <v>342</v>
      </c>
      <c r="C294" s="449"/>
      <c r="D294" s="449"/>
      <c r="E294" s="449"/>
      <c r="F294" s="449"/>
      <c r="G294" s="449"/>
      <c r="H294" s="449"/>
      <c r="I294" s="450"/>
    </row>
    <row r="295" spans="1:9" s="264" customFormat="1">
      <c r="A295" s="284" t="s">
        <v>135</v>
      </c>
      <c r="B295" s="451" t="s">
        <v>253</v>
      </c>
      <c r="C295" s="452"/>
      <c r="D295" s="452"/>
      <c r="E295" s="452"/>
      <c r="F295" s="452"/>
      <c r="G295" s="452"/>
      <c r="H295" s="452"/>
      <c r="I295" s="453"/>
    </row>
    <row r="296" spans="1:9" s="264" customFormat="1" ht="67.5">
      <c r="A296" s="215" t="s">
        <v>254</v>
      </c>
      <c r="B296" s="215">
        <v>7042</v>
      </c>
      <c r="C296" s="215" t="s">
        <v>146</v>
      </c>
      <c r="D296" s="219" t="s">
        <v>291</v>
      </c>
      <c r="E296" s="215" t="s">
        <v>255</v>
      </c>
      <c r="F296" s="254">
        <v>2</v>
      </c>
      <c r="G296" s="216"/>
      <c r="H296" s="140">
        <f>G296*(1+$I$9)</f>
        <v>0</v>
      </c>
      <c r="I296" s="216">
        <f>ROUND((F296*H296),2)</f>
        <v>0</v>
      </c>
    </row>
    <row r="297" spans="1:9" s="264" customFormat="1" ht="12.75" customHeight="1">
      <c r="A297" s="442" t="str">
        <f>CONCATENATE("SUBTOTAL ",A294)</f>
        <v>SUBTOTAL 3</v>
      </c>
      <c r="B297" s="443"/>
      <c r="C297" s="443"/>
      <c r="D297" s="443"/>
      <c r="E297" s="443"/>
      <c r="F297" s="443"/>
      <c r="G297" s="443"/>
      <c r="H297" s="444"/>
      <c r="I297" s="265">
        <f>SUM(I296)</f>
        <v>0</v>
      </c>
    </row>
    <row r="298" spans="1:9" s="264" customFormat="1">
      <c r="A298" s="262">
        <v>4</v>
      </c>
      <c r="B298" s="448" t="s">
        <v>364</v>
      </c>
      <c r="C298" s="449"/>
      <c r="D298" s="449"/>
      <c r="E298" s="449"/>
      <c r="F298" s="449"/>
      <c r="G298" s="449"/>
      <c r="H298" s="449"/>
      <c r="I298" s="450"/>
    </row>
    <row r="299" spans="1:9" s="288" customFormat="1">
      <c r="A299" s="284" t="s">
        <v>136</v>
      </c>
      <c r="B299" s="451" t="s">
        <v>365</v>
      </c>
      <c r="C299" s="452"/>
      <c r="D299" s="452"/>
      <c r="E299" s="452"/>
      <c r="F299" s="452"/>
      <c r="G299" s="452"/>
      <c r="H299" s="452"/>
      <c r="I299" s="453"/>
    </row>
    <row r="300" spans="1:9" s="264" customFormat="1" ht="22.5">
      <c r="A300" s="229" t="s">
        <v>258</v>
      </c>
      <c r="B300" s="230">
        <v>70070039</v>
      </c>
      <c r="C300" s="137" t="s">
        <v>142</v>
      </c>
      <c r="D300" s="259" t="s">
        <v>367</v>
      </c>
      <c r="E300" s="252" t="s">
        <v>6</v>
      </c>
      <c r="F300" s="260">
        <v>2</v>
      </c>
      <c r="G300" s="261"/>
      <c r="H300" s="140">
        <f>G300*(1+$I$9)</f>
        <v>0</v>
      </c>
      <c r="I300" s="216">
        <f>ROUND((F300*H300),2)</f>
        <v>0</v>
      </c>
    </row>
    <row r="301" spans="1:9" s="264" customFormat="1" ht="22.5">
      <c r="A301" s="229" t="s">
        <v>260</v>
      </c>
      <c r="B301" s="230">
        <v>70070142</v>
      </c>
      <c r="C301" s="137" t="s">
        <v>142</v>
      </c>
      <c r="D301" s="259" t="s">
        <v>368</v>
      </c>
      <c r="E301" s="215" t="s">
        <v>287</v>
      </c>
      <c r="F301" s="260">
        <f>1.99*1.19*0.39</f>
        <v>0.92355900000000002</v>
      </c>
      <c r="G301" s="261"/>
      <c r="H301" s="140">
        <f>G301*(1+$I$9)</f>
        <v>0</v>
      </c>
      <c r="I301" s="216">
        <f>ROUND((F301*H301),2)</f>
        <v>0</v>
      </c>
    </row>
    <row r="302" spans="1:9" s="264" customFormat="1" ht="33.75">
      <c r="A302" s="229" t="s">
        <v>262</v>
      </c>
      <c r="B302" s="230">
        <v>70110024</v>
      </c>
      <c r="C302" s="137" t="s">
        <v>142</v>
      </c>
      <c r="D302" s="259" t="s">
        <v>155</v>
      </c>
      <c r="E302" s="252" t="s">
        <v>140</v>
      </c>
      <c r="F302" s="260">
        <f>((1.19*2)+(1.99*2))*0.39</f>
        <v>2.4803999999999999</v>
      </c>
      <c r="G302" s="261"/>
      <c r="H302" s="140">
        <f>G302*(1+$I$9)</f>
        <v>0</v>
      </c>
      <c r="I302" s="216">
        <f>ROUND((F302*H302),2)</f>
        <v>0</v>
      </c>
    </row>
    <row r="303" spans="1:9" s="288" customFormat="1">
      <c r="A303" s="284" t="s">
        <v>332</v>
      </c>
      <c r="B303" s="451" t="s">
        <v>366</v>
      </c>
      <c r="C303" s="452"/>
      <c r="D303" s="452"/>
      <c r="E303" s="452"/>
      <c r="F303" s="452"/>
      <c r="G303" s="452"/>
      <c r="H303" s="452"/>
      <c r="I303" s="453"/>
    </row>
    <row r="304" spans="1:9" s="264" customFormat="1" ht="22.5">
      <c r="A304" s="229" t="s">
        <v>338</v>
      </c>
      <c r="B304" s="230">
        <v>70110013</v>
      </c>
      <c r="C304" s="137" t="s">
        <v>142</v>
      </c>
      <c r="D304" s="259" t="s">
        <v>395</v>
      </c>
      <c r="E304" s="252" t="s">
        <v>140</v>
      </c>
      <c r="F304" s="260">
        <f>(1.6+0.6+0.6)*1.8</f>
        <v>5.0400000000000009</v>
      </c>
      <c r="G304" s="261"/>
      <c r="H304" s="140">
        <f>G304*(1+$I$9)</f>
        <v>0</v>
      </c>
      <c r="I304" s="216">
        <f>ROUND((F304*H304),2)</f>
        <v>0</v>
      </c>
    </row>
    <row r="305" spans="1:9" s="288" customFormat="1">
      <c r="A305" s="284" t="s">
        <v>335</v>
      </c>
      <c r="B305" s="451" t="s">
        <v>371</v>
      </c>
      <c r="C305" s="452"/>
      <c r="D305" s="452"/>
      <c r="E305" s="452"/>
      <c r="F305" s="452"/>
      <c r="G305" s="452"/>
      <c r="H305" s="452"/>
      <c r="I305" s="453"/>
    </row>
    <row r="306" spans="1:9" s="264" customFormat="1">
      <c r="A306" s="229" t="s">
        <v>339</v>
      </c>
      <c r="B306" s="230">
        <v>70070126</v>
      </c>
      <c r="C306" s="137" t="s">
        <v>142</v>
      </c>
      <c r="D306" s="259" t="s">
        <v>369</v>
      </c>
      <c r="E306" s="252" t="s">
        <v>140</v>
      </c>
      <c r="F306" s="260">
        <f>(1.6*0.95)+(1.6+1.6+0.95+0.95)*0.1</f>
        <v>2.0300000000000002</v>
      </c>
      <c r="G306" s="261"/>
      <c r="H306" s="140">
        <f>G306*(1+$I$9)</f>
        <v>0</v>
      </c>
      <c r="I306" s="216">
        <f>ROUND((F306*H306),2)</f>
        <v>0</v>
      </c>
    </row>
    <row r="307" spans="1:9" s="264" customFormat="1" ht="22.5">
      <c r="A307" s="229" t="s">
        <v>422</v>
      </c>
      <c r="B307" s="230">
        <v>70070142</v>
      </c>
      <c r="C307" s="137" t="s">
        <v>142</v>
      </c>
      <c r="D307" s="259" t="s">
        <v>368</v>
      </c>
      <c r="E307" s="215" t="s">
        <v>287</v>
      </c>
      <c r="F307" s="260">
        <f>1.6*0.95*0.1</f>
        <v>0.15200000000000002</v>
      </c>
      <c r="G307" s="261"/>
      <c r="H307" s="140">
        <f>G307*(1+$I$9)</f>
        <v>0</v>
      </c>
      <c r="I307" s="216">
        <f>ROUND((F307*H307),2)</f>
        <v>0</v>
      </c>
    </row>
    <row r="308" spans="1:9" s="264" customFormat="1" ht="11.25" customHeight="1">
      <c r="A308" s="442" t="s">
        <v>356</v>
      </c>
      <c r="B308" s="443"/>
      <c r="C308" s="443"/>
      <c r="D308" s="443"/>
      <c r="E308" s="443"/>
      <c r="F308" s="443"/>
      <c r="G308" s="443"/>
      <c r="H308" s="444"/>
      <c r="I308" s="265">
        <f>SUM(I299:I307)</f>
        <v>0</v>
      </c>
    </row>
    <row r="309" spans="1:9" s="264" customFormat="1">
      <c r="A309" s="262">
        <v>5</v>
      </c>
      <c r="B309" s="448" t="s">
        <v>360</v>
      </c>
      <c r="C309" s="449"/>
      <c r="D309" s="449"/>
      <c r="E309" s="449"/>
      <c r="F309" s="449"/>
      <c r="G309" s="449"/>
      <c r="H309" s="449"/>
      <c r="I309" s="450"/>
    </row>
    <row r="310" spans="1:9" s="288" customFormat="1">
      <c r="A310" s="284" t="s">
        <v>137</v>
      </c>
      <c r="B310" s="451" t="s">
        <v>361</v>
      </c>
      <c r="C310" s="452"/>
      <c r="D310" s="452"/>
      <c r="E310" s="452"/>
      <c r="F310" s="452"/>
      <c r="G310" s="452"/>
      <c r="H310" s="452"/>
      <c r="I310" s="453"/>
    </row>
    <row r="311" spans="1:9" s="264" customFormat="1" ht="22.5">
      <c r="A311" s="229" t="s">
        <v>270</v>
      </c>
      <c r="B311" s="188" t="s">
        <v>396</v>
      </c>
      <c r="C311" s="137" t="s">
        <v>142</v>
      </c>
      <c r="D311" s="266" t="s">
        <v>397</v>
      </c>
      <c r="E311" s="267" t="s">
        <v>5</v>
      </c>
      <c r="F311" s="268">
        <v>2</v>
      </c>
      <c r="G311" s="269"/>
      <c r="H311" s="140">
        <f t="shared" ref="H311:H319" si="38">G311*(1+$I$9)</f>
        <v>0</v>
      </c>
      <c r="I311" s="216">
        <f t="shared" ref="I311:I316" si="39">ROUND((F311*H311),2)</f>
        <v>0</v>
      </c>
    </row>
    <row r="312" spans="1:9" s="264" customFormat="1" ht="22.5">
      <c r="A312" s="229" t="s">
        <v>271</v>
      </c>
      <c r="B312" s="230">
        <v>12428</v>
      </c>
      <c r="C312" s="137" t="s">
        <v>146</v>
      </c>
      <c r="D312" s="259" t="s">
        <v>398</v>
      </c>
      <c r="E312" s="252" t="s">
        <v>5</v>
      </c>
      <c r="F312" s="260">
        <v>2</v>
      </c>
      <c r="G312" s="261"/>
      <c r="H312" s="140">
        <f t="shared" si="38"/>
        <v>0</v>
      </c>
      <c r="I312" s="216">
        <f t="shared" si="39"/>
        <v>0</v>
      </c>
    </row>
    <row r="313" spans="1:9" s="264" customFormat="1" ht="22.5">
      <c r="A313" s="229" t="s">
        <v>272</v>
      </c>
      <c r="B313" s="230" t="s">
        <v>147</v>
      </c>
      <c r="C313" s="137" t="s">
        <v>142</v>
      </c>
      <c r="D313" s="259" t="s">
        <v>405</v>
      </c>
      <c r="E313" s="252" t="s">
        <v>5</v>
      </c>
      <c r="F313" s="260">
        <v>3</v>
      </c>
      <c r="G313" s="261"/>
      <c r="H313" s="140">
        <f t="shared" si="38"/>
        <v>0</v>
      </c>
      <c r="I313" s="216">
        <f t="shared" si="39"/>
        <v>0</v>
      </c>
    </row>
    <row r="314" spans="1:9" s="294" customFormat="1" ht="22.5">
      <c r="A314" s="229" t="s">
        <v>273</v>
      </c>
      <c r="B314" s="230" t="s">
        <v>413</v>
      </c>
      <c r="C314" s="137" t="s">
        <v>167</v>
      </c>
      <c r="D314" s="293" t="s">
        <v>414</v>
      </c>
      <c r="E314" s="252" t="s">
        <v>5</v>
      </c>
      <c r="F314" s="260">
        <v>3</v>
      </c>
      <c r="G314" s="261"/>
      <c r="H314" s="140">
        <f t="shared" si="38"/>
        <v>0</v>
      </c>
      <c r="I314" s="217">
        <f t="shared" si="39"/>
        <v>0</v>
      </c>
    </row>
    <row r="315" spans="1:9" s="264" customFormat="1" ht="22.5">
      <c r="A315" s="229" t="s">
        <v>274</v>
      </c>
      <c r="B315" s="230">
        <v>3266</v>
      </c>
      <c r="C315" s="137" t="s">
        <v>146</v>
      </c>
      <c r="D315" s="259" t="s">
        <v>406</v>
      </c>
      <c r="E315" s="252" t="s">
        <v>5</v>
      </c>
      <c r="F315" s="260">
        <v>2</v>
      </c>
      <c r="G315" s="261"/>
      <c r="H315" s="140">
        <f t="shared" si="38"/>
        <v>0</v>
      </c>
      <c r="I315" s="216">
        <f t="shared" si="39"/>
        <v>0</v>
      </c>
    </row>
    <row r="316" spans="1:9" s="294" customFormat="1" ht="22.5">
      <c r="A316" s="229" t="s">
        <v>275</v>
      </c>
      <c r="B316" s="230" t="s">
        <v>213</v>
      </c>
      <c r="C316" s="152" t="s">
        <v>167</v>
      </c>
      <c r="D316" s="295" t="s">
        <v>415</v>
      </c>
      <c r="E316" s="252" t="s">
        <v>5</v>
      </c>
      <c r="F316" s="260">
        <v>1</v>
      </c>
      <c r="G316" s="261"/>
      <c r="H316" s="140">
        <f t="shared" si="38"/>
        <v>0</v>
      </c>
      <c r="I316" s="217">
        <f t="shared" si="39"/>
        <v>0</v>
      </c>
    </row>
    <row r="317" spans="1:9" s="264" customFormat="1" ht="22.5">
      <c r="A317" s="229" t="s">
        <v>276</v>
      </c>
      <c r="B317" s="230">
        <v>771</v>
      </c>
      <c r="C317" s="137" t="s">
        <v>146</v>
      </c>
      <c r="D317" s="259" t="s">
        <v>407</v>
      </c>
      <c r="E317" s="252" t="s">
        <v>5</v>
      </c>
      <c r="F317" s="260">
        <v>1</v>
      </c>
      <c r="G317" s="261"/>
      <c r="H317" s="140">
        <f t="shared" si="38"/>
        <v>0</v>
      </c>
      <c r="I317" s="216">
        <f>ROUND((F317*H317),2)</f>
        <v>0</v>
      </c>
    </row>
    <row r="318" spans="1:9" s="264" customFormat="1" ht="22.5">
      <c r="A318" s="229" t="s">
        <v>277</v>
      </c>
      <c r="B318" s="230" t="s">
        <v>151</v>
      </c>
      <c r="C318" s="137" t="s">
        <v>142</v>
      </c>
      <c r="D318" s="259" t="s">
        <v>408</v>
      </c>
      <c r="E318" s="252" t="s">
        <v>5</v>
      </c>
      <c r="F318" s="260">
        <v>1</v>
      </c>
      <c r="G318" s="261"/>
      <c r="H318" s="140">
        <f t="shared" si="38"/>
        <v>0</v>
      </c>
      <c r="I318" s="216">
        <f>ROUND((F318*H318),2)</f>
        <v>0</v>
      </c>
    </row>
    <row r="319" spans="1:9" s="264" customFormat="1" ht="22.5">
      <c r="A319" s="229" t="s">
        <v>278</v>
      </c>
      <c r="B319" s="230" t="s">
        <v>153</v>
      </c>
      <c r="C319" s="137" t="s">
        <v>142</v>
      </c>
      <c r="D319" s="259" t="s">
        <v>409</v>
      </c>
      <c r="E319" s="252" t="s">
        <v>6</v>
      </c>
      <c r="F319" s="260">
        <v>6</v>
      </c>
      <c r="G319" s="261"/>
      <c r="H319" s="140">
        <f t="shared" si="38"/>
        <v>0</v>
      </c>
      <c r="I319" s="216">
        <f>ROUND((F319*H319),2)</f>
        <v>0</v>
      </c>
    </row>
    <row r="320" spans="1:9" s="288" customFormat="1">
      <c r="A320" s="284" t="s">
        <v>138</v>
      </c>
      <c r="B320" s="451" t="s">
        <v>362</v>
      </c>
      <c r="C320" s="452"/>
      <c r="D320" s="452"/>
      <c r="E320" s="452"/>
      <c r="F320" s="452"/>
      <c r="G320" s="452"/>
      <c r="H320" s="452"/>
      <c r="I320" s="453"/>
    </row>
    <row r="321" spans="1:9" s="264" customFormat="1" ht="22.5">
      <c r="A321" s="229" t="s">
        <v>279</v>
      </c>
      <c r="B321" s="230">
        <v>3825</v>
      </c>
      <c r="C321" s="137" t="s">
        <v>146</v>
      </c>
      <c r="D321" s="335" t="s">
        <v>399</v>
      </c>
      <c r="E321" s="224" t="s">
        <v>5</v>
      </c>
      <c r="F321" s="336">
        <v>4</v>
      </c>
      <c r="G321" s="292"/>
      <c r="H321" s="140">
        <f>G321*(1+$I$9)</f>
        <v>0</v>
      </c>
      <c r="I321" s="216">
        <f t="shared" ref="I321:I322" si="40">ROUND((F321*H321),2)</f>
        <v>0</v>
      </c>
    </row>
    <row r="322" spans="1:9" s="264" customFormat="1" ht="22.5">
      <c r="A322" s="229" t="s">
        <v>353</v>
      </c>
      <c r="B322" s="230">
        <v>7048</v>
      </c>
      <c r="C322" s="137" t="s">
        <v>146</v>
      </c>
      <c r="D322" s="259" t="s">
        <v>436</v>
      </c>
      <c r="E322" s="252" t="s">
        <v>5</v>
      </c>
      <c r="F322" s="260">
        <v>2</v>
      </c>
      <c r="G322" s="261"/>
      <c r="H322" s="140">
        <f>G322*(1+$I$9)</f>
        <v>0</v>
      </c>
      <c r="I322" s="216">
        <f t="shared" si="40"/>
        <v>0</v>
      </c>
    </row>
    <row r="323" spans="1:9" s="264" customFormat="1" ht="33.75">
      <c r="A323" s="229" t="s">
        <v>423</v>
      </c>
      <c r="B323" s="272">
        <v>36378</v>
      </c>
      <c r="C323" s="137" t="s">
        <v>146</v>
      </c>
      <c r="D323" s="273" t="s">
        <v>347</v>
      </c>
      <c r="E323" s="252" t="s">
        <v>6</v>
      </c>
      <c r="F323" s="260">
        <f>10*2</f>
        <v>20</v>
      </c>
      <c r="G323" s="269"/>
      <c r="H323" s="140">
        <f>G323*(1+$I$9)</f>
        <v>0</v>
      </c>
      <c r="I323" s="216">
        <f>ROUND((F323*H323),2)</f>
        <v>0</v>
      </c>
    </row>
    <row r="324" spans="1:9" s="288" customFormat="1">
      <c r="A324" s="284" t="s">
        <v>354</v>
      </c>
      <c r="B324" s="451" t="s">
        <v>363</v>
      </c>
      <c r="C324" s="452"/>
      <c r="D324" s="452"/>
      <c r="E324" s="452"/>
      <c r="F324" s="452"/>
      <c r="G324" s="452"/>
      <c r="H324" s="452"/>
      <c r="I324" s="453"/>
    </row>
    <row r="325" spans="1:9" s="264" customFormat="1" ht="33.75">
      <c r="A325" s="229" t="s">
        <v>355</v>
      </c>
      <c r="B325" s="230" t="s">
        <v>148</v>
      </c>
      <c r="C325" s="137" t="s">
        <v>142</v>
      </c>
      <c r="D325" s="259" t="s">
        <v>410</v>
      </c>
      <c r="E325" s="252" t="s">
        <v>5</v>
      </c>
      <c r="F325" s="260">
        <v>3</v>
      </c>
      <c r="G325" s="261"/>
      <c r="H325" s="140">
        <f>G325*(1+$I$9)</f>
        <v>0</v>
      </c>
      <c r="I325" s="216">
        <f>ROUND((F325*H325),2)</f>
        <v>0</v>
      </c>
    </row>
    <row r="326" spans="1:9" s="264" customFormat="1" ht="22.5">
      <c r="A326" s="229" t="s">
        <v>370</v>
      </c>
      <c r="B326" s="230" t="s">
        <v>150</v>
      </c>
      <c r="C326" s="137" t="s">
        <v>142</v>
      </c>
      <c r="D326" s="259" t="s">
        <v>411</v>
      </c>
      <c r="E326" s="252" t="s">
        <v>5</v>
      </c>
      <c r="F326" s="260">
        <v>1</v>
      </c>
      <c r="G326" s="261"/>
      <c r="H326" s="140">
        <f>G326*(1+$I$9)</f>
        <v>0</v>
      </c>
      <c r="I326" s="216">
        <f>ROUND((F326*H326),2)</f>
        <v>0</v>
      </c>
    </row>
    <row r="327" spans="1:9" s="264" customFormat="1" ht="33.75">
      <c r="A327" s="229" t="s">
        <v>424</v>
      </c>
      <c r="B327" s="230" t="s">
        <v>149</v>
      </c>
      <c r="C327" s="152" t="s">
        <v>142</v>
      </c>
      <c r="D327" s="258" t="s">
        <v>412</v>
      </c>
      <c r="E327" s="252" t="s">
        <v>5</v>
      </c>
      <c r="F327" s="260">
        <v>1</v>
      </c>
      <c r="G327" s="261"/>
      <c r="H327" s="140">
        <f>G327*(1+$I$9)</f>
        <v>0</v>
      </c>
      <c r="I327" s="216">
        <f>ROUND((F327*H327),2)</f>
        <v>0</v>
      </c>
    </row>
    <row r="328" spans="1:9" s="288" customFormat="1">
      <c r="A328" s="284" t="s">
        <v>425</v>
      </c>
      <c r="B328" s="451" t="s">
        <v>383</v>
      </c>
      <c r="C328" s="452"/>
      <c r="D328" s="452"/>
      <c r="E328" s="452"/>
      <c r="F328" s="452"/>
      <c r="G328" s="452"/>
      <c r="H328" s="452"/>
      <c r="I328" s="453"/>
    </row>
    <row r="329" spans="1:9" s="264" customFormat="1" ht="33.75">
      <c r="A329" s="229" t="s">
        <v>426</v>
      </c>
      <c r="B329" s="246" t="s">
        <v>384</v>
      </c>
      <c r="C329" s="137" t="s">
        <v>167</v>
      </c>
      <c r="D329" s="271" t="s">
        <v>385</v>
      </c>
      <c r="E329" s="267" t="s">
        <v>6</v>
      </c>
      <c r="F329" s="268">
        <f>F319</f>
        <v>6</v>
      </c>
      <c r="G329" s="269"/>
      <c r="H329" s="140">
        <f>G329*(1+$I$9)</f>
        <v>0</v>
      </c>
      <c r="I329" s="216">
        <f t="shared" ref="I329" si="41">ROUND((F329*H329),2)</f>
        <v>0</v>
      </c>
    </row>
    <row r="330" spans="1:9" s="288" customFormat="1">
      <c r="A330" s="284" t="s">
        <v>427</v>
      </c>
      <c r="B330" s="451" t="s">
        <v>352</v>
      </c>
      <c r="C330" s="452"/>
      <c r="D330" s="452"/>
      <c r="E330" s="452"/>
      <c r="F330" s="452"/>
      <c r="G330" s="452"/>
      <c r="H330" s="452"/>
      <c r="I330" s="453"/>
    </row>
    <row r="331" spans="1:9" s="264" customFormat="1" ht="79.5" customHeight="1">
      <c r="A331" s="229" t="s">
        <v>428</v>
      </c>
      <c r="B331" s="246">
        <v>105366</v>
      </c>
      <c r="C331" s="137" t="s">
        <v>146</v>
      </c>
      <c r="D331" s="271" t="s">
        <v>418</v>
      </c>
      <c r="E331" s="267" t="s">
        <v>5</v>
      </c>
      <c r="F331" s="268">
        <f>F322</f>
        <v>2</v>
      </c>
      <c r="G331" s="269"/>
      <c r="H331" s="140">
        <f>G331*(1+$I$9)</f>
        <v>0</v>
      </c>
      <c r="I331" s="216">
        <f t="shared" ref="I331:I333" si="42">ROUND((F331*H331),2)</f>
        <v>0</v>
      </c>
    </row>
    <row r="332" spans="1:9" s="264" customFormat="1" ht="79.5" customHeight="1">
      <c r="A332" s="229" t="s">
        <v>429</v>
      </c>
      <c r="B332" s="246">
        <v>105286</v>
      </c>
      <c r="C332" s="137" t="s">
        <v>146</v>
      </c>
      <c r="D332" s="271" t="s">
        <v>382</v>
      </c>
      <c r="E332" s="267" t="s">
        <v>5</v>
      </c>
      <c r="F332" s="268">
        <f>F321</f>
        <v>4</v>
      </c>
      <c r="G332" s="269"/>
      <c r="H332" s="140">
        <f>G332*(1+$I$9)</f>
        <v>0</v>
      </c>
      <c r="I332" s="216">
        <f t="shared" si="42"/>
        <v>0</v>
      </c>
    </row>
    <row r="333" spans="1:9" s="264" customFormat="1" ht="67.5">
      <c r="A333" s="229" t="s">
        <v>430</v>
      </c>
      <c r="B333" s="246">
        <v>97121</v>
      </c>
      <c r="C333" s="137" t="s">
        <v>146</v>
      </c>
      <c r="D333" s="271" t="s">
        <v>349</v>
      </c>
      <c r="E333" s="267" t="s">
        <v>5</v>
      </c>
      <c r="F333" s="268">
        <f>F323</f>
        <v>20</v>
      </c>
      <c r="G333" s="269"/>
      <c r="H333" s="140">
        <f>G333*(1+$I$9)</f>
        <v>0</v>
      </c>
      <c r="I333" s="216">
        <f t="shared" si="42"/>
        <v>0</v>
      </c>
    </row>
    <row r="334" spans="1:9" s="288" customFormat="1" ht="11.25" customHeight="1">
      <c r="A334" s="284" t="s">
        <v>431</v>
      </c>
      <c r="B334" s="451" t="s">
        <v>390</v>
      </c>
      <c r="C334" s="452"/>
      <c r="D334" s="452"/>
      <c r="E334" s="452"/>
      <c r="F334" s="452"/>
      <c r="G334" s="452"/>
      <c r="H334" s="452"/>
      <c r="I334" s="453"/>
    </row>
    <row r="335" spans="1:9" s="264" customFormat="1" ht="22.5">
      <c r="A335" s="229" t="s">
        <v>432</v>
      </c>
      <c r="B335" s="246">
        <v>70140057</v>
      </c>
      <c r="C335" s="137" t="s">
        <v>142</v>
      </c>
      <c r="D335" s="271" t="s">
        <v>393</v>
      </c>
      <c r="E335" s="267" t="s">
        <v>5</v>
      </c>
      <c r="F335" s="268">
        <f>F325</f>
        <v>3</v>
      </c>
      <c r="G335" s="269"/>
      <c r="H335" s="140">
        <f>G335*(1+$I$9)</f>
        <v>0</v>
      </c>
      <c r="I335" s="216">
        <f t="shared" ref="I335:I336" si="43">ROUND((F335*H335),2)</f>
        <v>0</v>
      </c>
    </row>
    <row r="336" spans="1:9" s="264" customFormat="1" ht="22.5">
      <c r="A336" s="229" t="s">
        <v>433</v>
      </c>
      <c r="B336" s="246">
        <v>70140072</v>
      </c>
      <c r="C336" s="137" t="s">
        <v>142</v>
      </c>
      <c r="D336" s="271" t="s">
        <v>394</v>
      </c>
      <c r="E336" s="267" t="s">
        <v>5</v>
      </c>
      <c r="F336" s="268">
        <f>F327</f>
        <v>1</v>
      </c>
      <c r="G336" s="269"/>
      <c r="H336" s="140">
        <f>G336*(1+$I$9)</f>
        <v>0</v>
      </c>
      <c r="I336" s="216">
        <f t="shared" si="43"/>
        <v>0</v>
      </c>
    </row>
    <row r="337" spans="1:9" s="264" customFormat="1" ht="12.75" customHeight="1">
      <c r="A337" s="442" t="str">
        <f>CONCATENATE("SUBTOTAL ",A309)</f>
        <v>SUBTOTAL 5</v>
      </c>
      <c r="B337" s="443"/>
      <c r="C337" s="443"/>
      <c r="D337" s="443"/>
      <c r="E337" s="443"/>
      <c r="F337" s="443"/>
      <c r="G337" s="443"/>
      <c r="H337" s="444"/>
      <c r="I337" s="265">
        <f>SUM(I311:I336)</f>
        <v>0</v>
      </c>
    </row>
    <row r="338" spans="1:9" ht="18" customHeight="1">
      <c r="A338" s="423" t="s">
        <v>421</v>
      </c>
      <c r="B338" s="424"/>
      <c r="C338" s="424"/>
      <c r="D338" s="424"/>
      <c r="E338" s="424"/>
      <c r="F338" s="424"/>
      <c r="G338" s="424"/>
      <c r="H338" s="425"/>
      <c r="I338" s="257">
        <f>I337+I308+I297+I293+I287</f>
        <v>0</v>
      </c>
    </row>
    <row r="339" spans="1:9" s="134" customFormat="1" ht="16.5" customHeight="1">
      <c r="A339" s="460" t="s">
        <v>130</v>
      </c>
      <c r="B339" s="461"/>
      <c r="C339" s="461"/>
      <c r="D339" s="461"/>
      <c r="E339" s="461"/>
      <c r="F339" s="461"/>
      <c r="G339" s="461"/>
      <c r="H339" s="461"/>
      <c r="I339" s="462"/>
    </row>
    <row r="340" spans="1:9" s="134" customFormat="1" ht="33.75">
      <c r="A340" s="274" t="s">
        <v>1</v>
      </c>
      <c r="B340" s="274" t="s">
        <v>3</v>
      </c>
      <c r="C340" s="274" t="s">
        <v>15</v>
      </c>
      <c r="D340" s="274" t="s">
        <v>2</v>
      </c>
      <c r="E340" s="274" t="s">
        <v>316</v>
      </c>
      <c r="F340" s="275" t="s">
        <v>158</v>
      </c>
      <c r="G340" s="276" t="s">
        <v>159</v>
      </c>
      <c r="H340" s="276" t="s">
        <v>160</v>
      </c>
      <c r="I340" s="277" t="s">
        <v>161</v>
      </c>
    </row>
    <row r="341" spans="1:9" s="135" customFormat="1" ht="12" customHeight="1">
      <c r="A341" s="150">
        <v>1</v>
      </c>
      <c r="B341" s="169" t="s">
        <v>238</v>
      </c>
      <c r="C341" s="170"/>
      <c r="D341" s="170"/>
      <c r="E341" s="170"/>
      <c r="F341" s="253"/>
      <c r="G341" s="170"/>
      <c r="H341" s="220"/>
      <c r="I341" s="171"/>
    </row>
    <row r="342" spans="1:9" s="135" customFormat="1" ht="12" customHeight="1">
      <c r="A342" s="278" t="s">
        <v>4</v>
      </c>
      <c r="B342" s="279" t="s">
        <v>239</v>
      </c>
      <c r="C342" s="280"/>
      <c r="D342" s="280"/>
      <c r="E342" s="280"/>
      <c r="F342" s="281"/>
      <c r="G342" s="280"/>
      <c r="H342" s="282"/>
      <c r="I342" s="283"/>
    </row>
    <row r="343" spans="1:9" s="264" customFormat="1">
      <c r="A343" s="215" t="s">
        <v>162</v>
      </c>
      <c r="B343" s="214">
        <v>70020004</v>
      </c>
      <c r="C343" s="214" t="s">
        <v>142</v>
      </c>
      <c r="D343" s="222" t="s">
        <v>240</v>
      </c>
      <c r="E343" s="215" t="s">
        <v>6</v>
      </c>
      <c r="F343" s="254">
        <v>30</v>
      </c>
      <c r="G343" s="216"/>
      <c r="H343" s="140">
        <f>G343*(1+$I$9)</f>
        <v>0</v>
      </c>
      <c r="I343" s="216">
        <f>ROUND((F343*H343),2)</f>
        <v>0</v>
      </c>
    </row>
    <row r="344" spans="1:9" s="264" customFormat="1">
      <c r="A344" s="284" t="s">
        <v>123</v>
      </c>
      <c r="B344" s="451" t="s">
        <v>241</v>
      </c>
      <c r="C344" s="452"/>
      <c r="D344" s="452"/>
      <c r="E344" s="452"/>
      <c r="F344" s="452"/>
      <c r="G344" s="452"/>
      <c r="H344" s="452"/>
      <c r="I344" s="453"/>
    </row>
    <row r="345" spans="1:9" s="264" customFormat="1" ht="45">
      <c r="A345" s="215" t="s">
        <v>180</v>
      </c>
      <c r="B345" s="215">
        <v>97636</v>
      </c>
      <c r="C345" s="215" t="s">
        <v>146</v>
      </c>
      <c r="D345" s="219" t="s">
        <v>289</v>
      </c>
      <c r="E345" s="214" t="s">
        <v>140</v>
      </c>
      <c r="F345" s="254">
        <f>2*7.5</f>
        <v>15</v>
      </c>
      <c r="G345" s="216"/>
      <c r="H345" s="140">
        <f>G345*(1+$I$9)</f>
        <v>0</v>
      </c>
      <c r="I345" s="216">
        <f>ROUND((F345*H345),2)</f>
        <v>0</v>
      </c>
    </row>
    <row r="346" spans="1:9" s="264" customFormat="1">
      <c r="A346" s="284" t="s">
        <v>124</v>
      </c>
      <c r="B346" s="451" t="s">
        <v>242</v>
      </c>
      <c r="C346" s="452"/>
      <c r="D346" s="452"/>
      <c r="E346" s="452"/>
      <c r="F346" s="452"/>
      <c r="G346" s="452"/>
      <c r="H346" s="452"/>
      <c r="I346" s="453"/>
    </row>
    <row r="347" spans="1:9" s="264" customFormat="1" ht="67.5">
      <c r="A347" s="215" t="s">
        <v>220</v>
      </c>
      <c r="B347" s="215">
        <v>100981</v>
      </c>
      <c r="C347" s="215" t="s">
        <v>146</v>
      </c>
      <c r="D347" s="219" t="s">
        <v>243</v>
      </c>
      <c r="E347" s="215" t="s">
        <v>287</v>
      </c>
      <c r="F347" s="255">
        <f>(F345*0.15)</f>
        <v>2.25</v>
      </c>
      <c r="G347" s="216"/>
      <c r="H347" s="140">
        <f>G347*(1+$I$9)</f>
        <v>0</v>
      </c>
      <c r="I347" s="216">
        <f>ROUND((F347*H347),2)</f>
        <v>0</v>
      </c>
    </row>
    <row r="348" spans="1:9" s="264" customFormat="1" ht="45">
      <c r="A348" s="215" t="s">
        <v>224</v>
      </c>
      <c r="B348" s="215">
        <v>97914</v>
      </c>
      <c r="C348" s="215" t="s">
        <v>146</v>
      </c>
      <c r="D348" s="219" t="s">
        <v>290</v>
      </c>
      <c r="E348" s="215" t="s">
        <v>288</v>
      </c>
      <c r="F348" s="254">
        <f>F347*20</f>
        <v>45</v>
      </c>
      <c r="G348" s="216"/>
      <c r="H348" s="140">
        <f>G348*(1+$I$9)</f>
        <v>0</v>
      </c>
      <c r="I348" s="216">
        <f>ROUND((F348*H348),2)</f>
        <v>0</v>
      </c>
    </row>
    <row r="349" spans="1:9" s="264" customFormat="1" ht="22.5">
      <c r="A349" s="215" t="s">
        <v>225</v>
      </c>
      <c r="B349" s="215" t="s">
        <v>282</v>
      </c>
      <c r="C349" s="215" t="s">
        <v>167</v>
      </c>
      <c r="D349" s="219" t="s">
        <v>244</v>
      </c>
      <c r="E349" s="215" t="s">
        <v>245</v>
      </c>
      <c r="F349" s="254">
        <f>F347*2.4</f>
        <v>5.3999999999999995</v>
      </c>
      <c r="G349" s="217"/>
      <c r="H349" s="140">
        <f>G349*(1+$I$9)</f>
        <v>0</v>
      </c>
      <c r="I349" s="216">
        <f>ROUND((F349*H349),2)</f>
        <v>0</v>
      </c>
    </row>
    <row r="350" spans="1:9" s="264" customFormat="1" ht="12.75" customHeight="1">
      <c r="A350" s="442" t="str">
        <f>CONCATENATE("SUBTOTAL ",A341)</f>
        <v>SUBTOTAL 1</v>
      </c>
      <c r="B350" s="443"/>
      <c r="C350" s="443"/>
      <c r="D350" s="443"/>
      <c r="E350" s="443"/>
      <c r="F350" s="443"/>
      <c r="G350" s="443"/>
      <c r="H350" s="444"/>
      <c r="I350" s="265">
        <f>SUM(I343:I349)</f>
        <v>0</v>
      </c>
    </row>
    <row r="351" spans="1:9" s="264" customFormat="1">
      <c r="A351" s="262">
        <v>2</v>
      </c>
      <c r="B351" s="448" t="s">
        <v>246</v>
      </c>
      <c r="C351" s="449"/>
      <c r="D351" s="449"/>
      <c r="E351" s="449"/>
      <c r="F351" s="449"/>
      <c r="G351" s="449"/>
      <c r="H351" s="449"/>
      <c r="I351" s="450"/>
    </row>
    <row r="352" spans="1:9" s="264" customFormat="1">
      <c r="A352" s="284" t="s">
        <v>8</v>
      </c>
      <c r="B352" s="451" t="s">
        <v>247</v>
      </c>
      <c r="C352" s="452"/>
      <c r="D352" s="452"/>
      <c r="E352" s="452"/>
      <c r="F352" s="452"/>
      <c r="G352" s="452"/>
      <c r="H352" s="452"/>
      <c r="I352" s="453"/>
    </row>
    <row r="353" spans="1:9" s="264" customFormat="1" ht="33.75">
      <c r="A353" s="215" t="s">
        <v>248</v>
      </c>
      <c r="B353" s="215">
        <v>70030060</v>
      </c>
      <c r="C353" s="215" t="s">
        <v>142</v>
      </c>
      <c r="D353" s="219" t="s">
        <v>249</v>
      </c>
      <c r="E353" s="215" t="s">
        <v>287</v>
      </c>
      <c r="F353" s="254">
        <f>(F345*1.3)+(2.5*2*1.3)</f>
        <v>26</v>
      </c>
      <c r="G353" s="217"/>
      <c r="H353" s="140">
        <f>G353*(1+$I$9)</f>
        <v>0</v>
      </c>
      <c r="I353" s="216">
        <f>ROUND((F353*H353),2)</f>
        <v>0</v>
      </c>
    </row>
    <row r="354" spans="1:9" s="264" customFormat="1">
      <c r="A354" s="284" t="s">
        <v>9</v>
      </c>
      <c r="B354" s="451" t="s">
        <v>250</v>
      </c>
      <c r="C354" s="452"/>
      <c r="D354" s="452"/>
      <c r="E354" s="452"/>
      <c r="F354" s="452"/>
      <c r="G354" s="452"/>
      <c r="H354" s="452"/>
      <c r="I354" s="453"/>
    </row>
    <row r="355" spans="1:9" s="264" customFormat="1" ht="45">
      <c r="A355" s="215" t="s">
        <v>251</v>
      </c>
      <c r="B355" s="215">
        <v>70030020</v>
      </c>
      <c r="C355" s="215" t="s">
        <v>142</v>
      </c>
      <c r="D355" s="219" t="s">
        <v>252</v>
      </c>
      <c r="E355" s="215" t="s">
        <v>287</v>
      </c>
      <c r="F355" s="254">
        <f>F353-(2*1.2*0.4)</f>
        <v>25.04</v>
      </c>
      <c r="G355" s="217"/>
      <c r="H355" s="140">
        <f>G355*(1+$I$9)</f>
        <v>0</v>
      </c>
      <c r="I355" s="216">
        <f>ROUND((F355*H355),2)</f>
        <v>0</v>
      </c>
    </row>
    <row r="356" spans="1:9" s="264" customFormat="1" ht="12.75" customHeight="1">
      <c r="A356" s="442" t="str">
        <f>CONCATENATE("SUBTOTAL ",A351)</f>
        <v>SUBTOTAL 2</v>
      </c>
      <c r="B356" s="443"/>
      <c r="C356" s="443"/>
      <c r="D356" s="443"/>
      <c r="E356" s="443"/>
      <c r="F356" s="443"/>
      <c r="G356" s="443"/>
      <c r="H356" s="444"/>
      <c r="I356" s="265">
        <f>SUM(I353:I355)</f>
        <v>0</v>
      </c>
    </row>
    <row r="357" spans="1:9" s="264" customFormat="1">
      <c r="A357" s="262">
        <v>3</v>
      </c>
      <c r="B357" s="448" t="s">
        <v>342</v>
      </c>
      <c r="C357" s="449"/>
      <c r="D357" s="449"/>
      <c r="E357" s="449"/>
      <c r="F357" s="449"/>
      <c r="G357" s="449"/>
      <c r="H357" s="449"/>
      <c r="I357" s="450"/>
    </row>
    <row r="358" spans="1:9" s="264" customFormat="1">
      <c r="A358" s="284" t="s">
        <v>135</v>
      </c>
      <c r="B358" s="451" t="s">
        <v>253</v>
      </c>
      <c r="C358" s="452"/>
      <c r="D358" s="452"/>
      <c r="E358" s="452"/>
      <c r="F358" s="452"/>
      <c r="G358" s="452"/>
      <c r="H358" s="452"/>
      <c r="I358" s="453"/>
    </row>
    <row r="359" spans="1:9" s="264" customFormat="1" ht="67.5">
      <c r="A359" s="215" t="s">
        <v>254</v>
      </c>
      <c r="B359" s="215">
        <v>7042</v>
      </c>
      <c r="C359" s="215" t="s">
        <v>146</v>
      </c>
      <c r="D359" s="219" t="s">
        <v>291</v>
      </c>
      <c r="E359" s="215" t="s">
        <v>255</v>
      </c>
      <c r="F359" s="254">
        <v>2</v>
      </c>
      <c r="G359" s="216"/>
      <c r="H359" s="140">
        <f>G359*(1+$I$9)</f>
        <v>0</v>
      </c>
      <c r="I359" s="216">
        <f>ROUND((F359*H359),2)</f>
        <v>0</v>
      </c>
    </row>
    <row r="360" spans="1:9" s="264" customFormat="1" ht="12.75" customHeight="1">
      <c r="A360" s="442" t="str">
        <f>CONCATENATE("SUBTOTAL ",A357)</f>
        <v>SUBTOTAL 3</v>
      </c>
      <c r="B360" s="443"/>
      <c r="C360" s="443"/>
      <c r="D360" s="443"/>
      <c r="E360" s="443"/>
      <c r="F360" s="443"/>
      <c r="G360" s="443"/>
      <c r="H360" s="444"/>
      <c r="I360" s="265">
        <f>SUM(I359)</f>
        <v>0</v>
      </c>
    </row>
    <row r="361" spans="1:9" s="264" customFormat="1">
      <c r="A361" s="262">
        <v>4</v>
      </c>
      <c r="B361" s="448" t="s">
        <v>256</v>
      </c>
      <c r="C361" s="449"/>
      <c r="D361" s="449"/>
      <c r="E361" s="449"/>
      <c r="F361" s="449"/>
      <c r="G361" s="449"/>
      <c r="H361" s="449"/>
      <c r="I361" s="450"/>
    </row>
    <row r="362" spans="1:9" s="264" customFormat="1">
      <c r="A362" s="284" t="s">
        <v>136</v>
      </c>
      <c r="B362" s="451" t="s">
        <v>257</v>
      </c>
      <c r="C362" s="452"/>
      <c r="D362" s="452"/>
      <c r="E362" s="452"/>
      <c r="F362" s="452"/>
      <c r="G362" s="452"/>
      <c r="H362" s="452"/>
      <c r="I362" s="453"/>
    </row>
    <row r="363" spans="1:9" s="264" customFormat="1" ht="56.25">
      <c r="A363" s="214" t="s">
        <v>258</v>
      </c>
      <c r="B363" s="215">
        <v>95995</v>
      </c>
      <c r="C363" s="215" t="s">
        <v>146</v>
      </c>
      <c r="D363" s="219" t="s">
        <v>259</v>
      </c>
      <c r="E363" s="214" t="s">
        <v>287</v>
      </c>
      <c r="F363" s="255">
        <f>F345*0.05</f>
        <v>0.75</v>
      </c>
      <c r="G363" s="217"/>
      <c r="H363" s="140">
        <f t="shared" ref="H363:H368" si="44">G363*(1+$I$9)</f>
        <v>0</v>
      </c>
      <c r="I363" s="216">
        <f>ROUND((F363*H363),2)</f>
        <v>0</v>
      </c>
    </row>
    <row r="364" spans="1:9" s="264" customFormat="1" ht="22.5">
      <c r="A364" s="214" t="s">
        <v>260</v>
      </c>
      <c r="B364" s="215">
        <v>100985</v>
      </c>
      <c r="C364" s="215" t="s">
        <v>146</v>
      </c>
      <c r="D364" s="219" t="s">
        <v>261</v>
      </c>
      <c r="E364" s="215" t="s">
        <v>287</v>
      </c>
      <c r="F364" s="254">
        <f>F363</f>
        <v>0.75</v>
      </c>
      <c r="G364" s="216"/>
      <c r="H364" s="140">
        <f t="shared" si="44"/>
        <v>0</v>
      </c>
      <c r="I364" s="216">
        <f t="shared" ref="I364:I368" si="45">ROUND((F364*H364),2)</f>
        <v>0</v>
      </c>
    </row>
    <row r="365" spans="1:9" s="264" customFormat="1" ht="45">
      <c r="A365" s="214" t="s">
        <v>262</v>
      </c>
      <c r="B365" s="215">
        <v>97914</v>
      </c>
      <c r="C365" s="215" t="s">
        <v>146</v>
      </c>
      <c r="D365" s="219" t="s">
        <v>263</v>
      </c>
      <c r="E365" s="215" t="s">
        <v>288</v>
      </c>
      <c r="F365" s="254">
        <f>F363*20</f>
        <v>15</v>
      </c>
      <c r="G365" s="216"/>
      <c r="H365" s="140">
        <f t="shared" si="44"/>
        <v>0</v>
      </c>
      <c r="I365" s="216">
        <f t="shared" si="45"/>
        <v>0</v>
      </c>
    </row>
    <row r="366" spans="1:9" s="264" customFormat="1">
      <c r="A366" s="214" t="s">
        <v>264</v>
      </c>
      <c r="B366" s="214" t="s">
        <v>283</v>
      </c>
      <c r="C366" s="214" t="s">
        <v>167</v>
      </c>
      <c r="D366" s="222" t="s">
        <v>265</v>
      </c>
      <c r="E366" s="214" t="s">
        <v>140</v>
      </c>
      <c r="F366" s="255">
        <f>F345</f>
        <v>15</v>
      </c>
      <c r="G366" s="216"/>
      <c r="H366" s="140">
        <f t="shared" si="44"/>
        <v>0</v>
      </c>
      <c r="I366" s="216">
        <f t="shared" si="45"/>
        <v>0</v>
      </c>
    </row>
    <row r="367" spans="1:9" s="264" customFormat="1" ht="22.5">
      <c r="A367" s="214" t="s">
        <v>266</v>
      </c>
      <c r="B367" s="214" t="s">
        <v>284</v>
      </c>
      <c r="C367" s="214" t="s">
        <v>167</v>
      </c>
      <c r="D367" s="222" t="s">
        <v>267</v>
      </c>
      <c r="E367" s="214" t="s">
        <v>286</v>
      </c>
      <c r="F367" s="255">
        <f>F366</f>
        <v>15</v>
      </c>
      <c r="G367" s="216"/>
      <c r="H367" s="140">
        <f t="shared" si="44"/>
        <v>0</v>
      </c>
      <c r="I367" s="216">
        <f t="shared" si="45"/>
        <v>0</v>
      </c>
    </row>
    <row r="368" spans="1:9" s="264" customFormat="1">
      <c r="A368" s="214" t="s">
        <v>268</v>
      </c>
      <c r="B368" s="214" t="s">
        <v>285</v>
      </c>
      <c r="C368" s="214" t="s">
        <v>167</v>
      </c>
      <c r="D368" s="222" t="s">
        <v>269</v>
      </c>
      <c r="E368" s="214" t="s">
        <v>287</v>
      </c>
      <c r="F368" s="255">
        <f>F345*0.1</f>
        <v>1.5</v>
      </c>
      <c r="G368" s="216"/>
      <c r="H368" s="140">
        <f t="shared" si="44"/>
        <v>0</v>
      </c>
      <c r="I368" s="216">
        <f t="shared" si="45"/>
        <v>0</v>
      </c>
    </row>
    <row r="369" spans="1:9" s="264" customFormat="1">
      <c r="A369" s="442" t="str">
        <f>CONCATENATE("SUBTOTAL ",A361)</f>
        <v>SUBTOTAL 4</v>
      </c>
      <c r="B369" s="443"/>
      <c r="C369" s="443"/>
      <c r="D369" s="443"/>
      <c r="E369" s="443"/>
      <c r="F369" s="443"/>
      <c r="G369" s="443"/>
      <c r="H369" s="444"/>
      <c r="I369" s="265">
        <f>SUM(I363:I368)</f>
        <v>0</v>
      </c>
    </row>
    <row r="370" spans="1:9" s="264" customFormat="1">
      <c r="A370" s="262">
        <v>5</v>
      </c>
      <c r="B370" s="448" t="s">
        <v>364</v>
      </c>
      <c r="C370" s="449"/>
      <c r="D370" s="449"/>
      <c r="E370" s="449"/>
      <c r="F370" s="449"/>
      <c r="G370" s="449"/>
      <c r="H370" s="449"/>
      <c r="I370" s="450"/>
    </row>
    <row r="371" spans="1:9" s="288" customFormat="1">
      <c r="A371" s="284" t="s">
        <v>137</v>
      </c>
      <c r="B371" s="451" t="s">
        <v>365</v>
      </c>
      <c r="C371" s="452"/>
      <c r="D371" s="452"/>
      <c r="E371" s="452"/>
      <c r="F371" s="452"/>
      <c r="G371" s="452"/>
      <c r="H371" s="452"/>
      <c r="I371" s="453"/>
    </row>
    <row r="372" spans="1:9" s="264" customFormat="1" ht="22.5">
      <c r="A372" s="229" t="s">
        <v>270</v>
      </c>
      <c r="B372" s="230">
        <v>70070039</v>
      </c>
      <c r="C372" s="137" t="s">
        <v>142</v>
      </c>
      <c r="D372" s="259" t="s">
        <v>367</v>
      </c>
      <c r="E372" s="252" t="s">
        <v>6</v>
      </c>
      <c r="F372" s="260">
        <v>2</v>
      </c>
      <c r="G372" s="261"/>
      <c r="H372" s="140">
        <f>G372*(1+$I$9)</f>
        <v>0</v>
      </c>
      <c r="I372" s="216">
        <f>ROUND((F372*H372),2)</f>
        <v>0</v>
      </c>
    </row>
    <row r="373" spans="1:9" s="264" customFormat="1" ht="22.5">
      <c r="A373" s="229" t="s">
        <v>271</v>
      </c>
      <c r="B373" s="230">
        <v>70070142</v>
      </c>
      <c r="C373" s="137" t="s">
        <v>142</v>
      </c>
      <c r="D373" s="259" t="s">
        <v>368</v>
      </c>
      <c r="E373" s="215" t="s">
        <v>287</v>
      </c>
      <c r="F373" s="260">
        <f>1.99*1.19*0.39</f>
        <v>0.92355900000000002</v>
      </c>
      <c r="G373" s="261"/>
      <c r="H373" s="140">
        <f>G373*(1+$I$9)</f>
        <v>0</v>
      </c>
      <c r="I373" s="216">
        <f>ROUND((F373*H373),2)</f>
        <v>0</v>
      </c>
    </row>
    <row r="374" spans="1:9" s="264" customFormat="1" ht="33.75">
      <c r="A374" s="229" t="s">
        <v>272</v>
      </c>
      <c r="B374" s="230">
        <v>70110024</v>
      </c>
      <c r="C374" s="137" t="s">
        <v>142</v>
      </c>
      <c r="D374" s="259" t="s">
        <v>155</v>
      </c>
      <c r="E374" s="252" t="s">
        <v>140</v>
      </c>
      <c r="F374" s="260">
        <f>((1.19*2)+(1.99*2))*0.39</f>
        <v>2.4803999999999999</v>
      </c>
      <c r="G374" s="261"/>
      <c r="H374" s="140">
        <f>G374*(1+$I$9)</f>
        <v>0</v>
      </c>
      <c r="I374" s="216">
        <f>ROUND((F374*H374),2)</f>
        <v>0</v>
      </c>
    </row>
    <row r="375" spans="1:9" s="288" customFormat="1">
      <c r="A375" s="284" t="s">
        <v>138</v>
      </c>
      <c r="B375" s="451" t="s">
        <v>366</v>
      </c>
      <c r="C375" s="452"/>
      <c r="D375" s="452"/>
      <c r="E375" s="452"/>
      <c r="F375" s="452"/>
      <c r="G375" s="452"/>
      <c r="H375" s="452"/>
      <c r="I375" s="453"/>
    </row>
    <row r="376" spans="1:9" s="264" customFormat="1" ht="22.5">
      <c r="A376" s="229" t="s">
        <v>279</v>
      </c>
      <c r="B376" s="230">
        <v>70110013</v>
      </c>
      <c r="C376" s="137" t="s">
        <v>142</v>
      </c>
      <c r="D376" s="259" t="s">
        <v>395</v>
      </c>
      <c r="E376" s="252" t="s">
        <v>140</v>
      </c>
      <c r="F376" s="260">
        <f>(1.6+0.6+0.6)*1.8</f>
        <v>5.0400000000000009</v>
      </c>
      <c r="G376" s="261"/>
      <c r="H376" s="140">
        <f>G376*(1+$I$9)</f>
        <v>0</v>
      </c>
      <c r="I376" s="216">
        <f>ROUND((F376*H376),2)</f>
        <v>0</v>
      </c>
    </row>
    <row r="377" spans="1:9" s="288" customFormat="1">
      <c r="A377" s="284" t="s">
        <v>354</v>
      </c>
      <c r="B377" s="451" t="s">
        <v>371</v>
      </c>
      <c r="C377" s="452"/>
      <c r="D377" s="452"/>
      <c r="E377" s="452"/>
      <c r="F377" s="452"/>
      <c r="G377" s="452"/>
      <c r="H377" s="452"/>
      <c r="I377" s="453"/>
    </row>
    <row r="378" spans="1:9" s="264" customFormat="1">
      <c r="A378" s="229" t="s">
        <v>355</v>
      </c>
      <c r="B378" s="230">
        <v>70070126</v>
      </c>
      <c r="C378" s="137" t="s">
        <v>142</v>
      </c>
      <c r="D378" s="259" t="s">
        <v>369</v>
      </c>
      <c r="E378" s="252" t="s">
        <v>140</v>
      </c>
      <c r="F378" s="260">
        <f>(1.6*0.95)+(1.6+1.6+0.95+0.95)*0.1</f>
        <v>2.0300000000000002</v>
      </c>
      <c r="G378" s="261"/>
      <c r="H378" s="140">
        <f>G378*(1+$I$9)</f>
        <v>0</v>
      </c>
      <c r="I378" s="216">
        <f>ROUND((F378*H378),2)</f>
        <v>0</v>
      </c>
    </row>
    <row r="379" spans="1:9" s="264" customFormat="1" ht="22.5">
      <c r="A379" s="229" t="s">
        <v>370</v>
      </c>
      <c r="B379" s="230">
        <v>70070142</v>
      </c>
      <c r="C379" s="137" t="s">
        <v>142</v>
      </c>
      <c r="D379" s="259" t="s">
        <v>368</v>
      </c>
      <c r="E379" s="215" t="s">
        <v>287</v>
      </c>
      <c r="F379" s="260">
        <f>1.6*0.95*0.1</f>
        <v>0.15200000000000002</v>
      </c>
      <c r="G379" s="261"/>
      <c r="H379" s="140">
        <f>G379*(1+$I$9)</f>
        <v>0</v>
      </c>
      <c r="I379" s="216">
        <f>ROUND((F379*H379),2)</f>
        <v>0</v>
      </c>
    </row>
    <row r="380" spans="1:9" s="264" customFormat="1" ht="11.25" customHeight="1">
      <c r="A380" s="442" t="s">
        <v>356</v>
      </c>
      <c r="B380" s="443"/>
      <c r="C380" s="443"/>
      <c r="D380" s="443"/>
      <c r="E380" s="443"/>
      <c r="F380" s="443"/>
      <c r="G380" s="443"/>
      <c r="H380" s="444"/>
      <c r="I380" s="265">
        <f>SUM(I371:I379)</f>
        <v>0</v>
      </c>
    </row>
    <row r="381" spans="1:9" s="264" customFormat="1">
      <c r="A381" s="262">
        <v>6</v>
      </c>
      <c r="B381" s="448" t="s">
        <v>360</v>
      </c>
      <c r="C381" s="449"/>
      <c r="D381" s="449"/>
      <c r="E381" s="449"/>
      <c r="F381" s="449"/>
      <c r="G381" s="449"/>
      <c r="H381" s="449"/>
      <c r="I381" s="450"/>
    </row>
    <row r="382" spans="1:9" s="288" customFormat="1">
      <c r="A382" s="284" t="s">
        <v>139</v>
      </c>
      <c r="B382" s="451" t="s">
        <v>361</v>
      </c>
      <c r="C382" s="452"/>
      <c r="D382" s="452"/>
      <c r="E382" s="452"/>
      <c r="F382" s="452"/>
      <c r="G382" s="452"/>
      <c r="H382" s="452"/>
      <c r="I382" s="453"/>
    </row>
    <row r="383" spans="1:9" s="264" customFormat="1" ht="22.5">
      <c r="A383" s="229" t="s">
        <v>299</v>
      </c>
      <c r="B383" s="188" t="s">
        <v>396</v>
      </c>
      <c r="C383" s="137" t="s">
        <v>142</v>
      </c>
      <c r="D383" s="266" t="s">
        <v>397</v>
      </c>
      <c r="E383" s="267" t="s">
        <v>5</v>
      </c>
      <c r="F383" s="268">
        <v>2</v>
      </c>
      <c r="G383" s="269"/>
      <c r="H383" s="140">
        <f t="shared" ref="H383:H391" si="46">G383*(1+$I$9)</f>
        <v>0</v>
      </c>
      <c r="I383" s="216">
        <f t="shared" ref="I383:I388" si="47">ROUND((F383*H383),2)</f>
        <v>0</v>
      </c>
    </row>
    <row r="384" spans="1:9" s="264" customFormat="1" ht="22.5">
      <c r="A384" s="229" t="s">
        <v>300</v>
      </c>
      <c r="B384" s="230">
        <v>12428</v>
      </c>
      <c r="C384" s="137" t="s">
        <v>146</v>
      </c>
      <c r="D384" s="259" t="s">
        <v>398</v>
      </c>
      <c r="E384" s="252" t="s">
        <v>5</v>
      </c>
      <c r="F384" s="260">
        <v>2</v>
      </c>
      <c r="G384" s="261"/>
      <c r="H384" s="140">
        <f t="shared" si="46"/>
        <v>0</v>
      </c>
      <c r="I384" s="216">
        <f t="shared" si="47"/>
        <v>0</v>
      </c>
    </row>
    <row r="385" spans="1:9" s="264" customFormat="1" ht="22.5">
      <c r="A385" s="229" t="s">
        <v>301</v>
      </c>
      <c r="B385" s="230" t="s">
        <v>147</v>
      </c>
      <c r="C385" s="137" t="s">
        <v>142</v>
      </c>
      <c r="D385" s="259" t="s">
        <v>405</v>
      </c>
      <c r="E385" s="252" t="s">
        <v>5</v>
      </c>
      <c r="F385" s="260">
        <v>3</v>
      </c>
      <c r="G385" s="261"/>
      <c r="H385" s="140">
        <f t="shared" si="46"/>
        <v>0</v>
      </c>
      <c r="I385" s="216">
        <f t="shared" si="47"/>
        <v>0</v>
      </c>
    </row>
    <row r="386" spans="1:9" s="294" customFormat="1" ht="22.5">
      <c r="A386" s="229" t="s">
        <v>302</v>
      </c>
      <c r="B386" s="230" t="s">
        <v>413</v>
      </c>
      <c r="C386" s="137" t="s">
        <v>167</v>
      </c>
      <c r="D386" s="293" t="s">
        <v>414</v>
      </c>
      <c r="E386" s="252" t="s">
        <v>5</v>
      </c>
      <c r="F386" s="260">
        <v>3</v>
      </c>
      <c r="G386" s="261"/>
      <c r="H386" s="140">
        <f t="shared" si="46"/>
        <v>0</v>
      </c>
      <c r="I386" s="217">
        <f t="shared" si="47"/>
        <v>0</v>
      </c>
    </row>
    <row r="387" spans="1:9" s="264" customFormat="1" ht="22.5">
      <c r="A387" s="229" t="s">
        <v>303</v>
      </c>
      <c r="B387" s="230">
        <v>3266</v>
      </c>
      <c r="C387" s="137" t="s">
        <v>146</v>
      </c>
      <c r="D387" s="259" t="s">
        <v>406</v>
      </c>
      <c r="E387" s="252" t="s">
        <v>5</v>
      </c>
      <c r="F387" s="260">
        <v>2</v>
      </c>
      <c r="G387" s="261"/>
      <c r="H387" s="140">
        <f t="shared" si="46"/>
        <v>0</v>
      </c>
      <c r="I387" s="216">
        <f t="shared" si="47"/>
        <v>0</v>
      </c>
    </row>
    <row r="388" spans="1:9" s="294" customFormat="1" ht="22.5">
      <c r="A388" s="229" t="s">
        <v>304</v>
      </c>
      <c r="B388" s="230" t="s">
        <v>213</v>
      </c>
      <c r="C388" s="152" t="s">
        <v>167</v>
      </c>
      <c r="D388" s="295" t="s">
        <v>415</v>
      </c>
      <c r="E388" s="252" t="s">
        <v>5</v>
      </c>
      <c r="F388" s="260">
        <v>1</v>
      </c>
      <c r="G388" s="261"/>
      <c r="H388" s="140">
        <f t="shared" si="46"/>
        <v>0</v>
      </c>
      <c r="I388" s="217">
        <f t="shared" si="47"/>
        <v>0</v>
      </c>
    </row>
    <row r="389" spans="1:9" s="264" customFormat="1" ht="22.5">
      <c r="A389" s="229" t="s">
        <v>305</v>
      </c>
      <c r="B389" s="230">
        <v>771</v>
      </c>
      <c r="C389" s="137" t="s">
        <v>146</v>
      </c>
      <c r="D389" s="259" t="s">
        <v>407</v>
      </c>
      <c r="E389" s="252" t="s">
        <v>5</v>
      </c>
      <c r="F389" s="260">
        <v>1</v>
      </c>
      <c r="G389" s="261"/>
      <c r="H389" s="140">
        <f t="shared" si="46"/>
        <v>0</v>
      </c>
      <c r="I389" s="216">
        <f>ROUND((F389*H389),2)</f>
        <v>0</v>
      </c>
    </row>
    <row r="390" spans="1:9" s="264" customFormat="1" ht="22.5">
      <c r="A390" s="229" t="s">
        <v>306</v>
      </c>
      <c r="B390" s="230" t="s">
        <v>151</v>
      </c>
      <c r="C390" s="137" t="s">
        <v>142</v>
      </c>
      <c r="D390" s="259" t="s">
        <v>408</v>
      </c>
      <c r="E390" s="252" t="s">
        <v>5</v>
      </c>
      <c r="F390" s="260">
        <v>1</v>
      </c>
      <c r="G390" s="261"/>
      <c r="H390" s="140">
        <f t="shared" si="46"/>
        <v>0</v>
      </c>
      <c r="I390" s="216">
        <f>ROUND((F390*H390),2)</f>
        <v>0</v>
      </c>
    </row>
    <row r="391" spans="1:9" s="264" customFormat="1" ht="22.5">
      <c r="A391" s="229" t="s">
        <v>307</v>
      </c>
      <c r="B391" s="230" t="s">
        <v>153</v>
      </c>
      <c r="C391" s="137" t="s">
        <v>142</v>
      </c>
      <c r="D391" s="259" t="s">
        <v>409</v>
      </c>
      <c r="E391" s="252" t="s">
        <v>6</v>
      </c>
      <c r="F391" s="260">
        <v>6</v>
      </c>
      <c r="G391" s="261"/>
      <c r="H391" s="140">
        <f t="shared" si="46"/>
        <v>0</v>
      </c>
      <c r="I391" s="216">
        <f>ROUND((F391*H391),2)</f>
        <v>0</v>
      </c>
    </row>
    <row r="392" spans="1:9" s="288" customFormat="1">
      <c r="A392" s="284" t="s">
        <v>372</v>
      </c>
      <c r="B392" s="451" t="s">
        <v>362</v>
      </c>
      <c r="C392" s="452"/>
      <c r="D392" s="452"/>
      <c r="E392" s="452"/>
      <c r="F392" s="452"/>
      <c r="G392" s="452"/>
      <c r="H392" s="452"/>
      <c r="I392" s="453"/>
    </row>
    <row r="393" spans="1:9" s="264" customFormat="1" ht="22.5">
      <c r="A393" s="229" t="s">
        <v>373</v>
      </c>
      <c r="B393" s="230">
        <v>3825</v>
      </c>
      <c r="C393" s="137" t="s">
        <v>146</v>
      </c>
      <c r="D393" s="291" t="s">
        <v>399</v>
      </c>
      <c r="E393" s="252" t="s">
        <v>5</v>
      </c>
      <c r="F393" s="260">
        <v>2</v>
      </c>
      <c r="G393" s="292"/>
      <c r="H393" s="140">
        <f>G393*(1+$I$9)</f>
        <v>0</v>
      </c>
      <c r="I393" s="216">
        <f t="shared" ref="I393:I395" si="48">ROUND((F393*H393),2)</f>
        <v>0</v>
      </c>
    </row>
    <row r="394" spans="1:9" s="264" customFormat="1" ht="22.5">
      <c r="A394" s="229" t="s">
        <v>374</v>
      </c>
      <c r="B394" s="230">
        <v>3837</v>
      </c>
      <c r="C394" s="137" t="s">
        <v>146</v>
      </c>
      <c r="D394" s="334" t="s">
        <v>400</v>
      </c>
      <c r="E394" s="267" t="s">
        <v>5</v>
      </c>
      <c r="F394" s="268">
        <v>2</v>
      </c>
      <c r="G394" s="290"/>
      <c r="H394" s="140">
        <f>G394*(1+$I$9)</f>
        <v>0</v>
      </c>
      <c r="I394" s="216">
        <f t="shared" si="48"/>
        <v>0</v>
      </c>
    </row>
    <row r="395" spans="1:9" s="264" customFormat="1" ht="33.75">
      <c r="A395" s="229" t="s">
        <v>375</v>
      </c>
      <c r="B395" s="230">
        <v>11378</v>
      </c>
      <c r="C395" s="137" t="s">
        <v>146</v>
      </c>
      <c r="D395" s="259" t="s">
        <v>401</v>
      </c>
      <c r="E395" s="252" t="s">
        <v>5</v>
      </c>
      <c r="F395" s="260">
        <v>2</v>
      </c>
      <c r="G395" s="261"/>
      <c r="H395" s="140">
        <f>G395*(1+$I$9)</f>
        <v>0</v>
      </c>
      <c r="I395" s="216">
        <f t="shared" si="48"/>
        <v>0</v>
      </c>
    </row>
    <row r="396" spans="1:9" s="264" customFormat="1" ht="33.75">
      <c r="A396" s="229" t="s">
        <v>402</v>
      </c>
      <c r="B396" s="272">
        <v>36378</v>
      </c>
      <c r="C396" s="137" t="s">
        <v>146</v>
      </c>
      <c r="D396" s="273" t="s">
        <v>347</v>
      </c>
      <c r="E396" s="252" t="s">
        <v>6</v>
      </c>
      <c r="F396" s="260">
        <f>10*2</f>
        <v>20</v>
      </c>
      <c r="G396" s="269"/>
      <c r="H396" s="140">
        <f>G396*(1+$I$9)</f>
        <v>0</v>
      </c>
      <c r="I396" s="216">
        <f>ROUND((F396*H396),2)</f>
        <v>0</v>
      </c>
    </row>
    <row r="397" spans="1:9" s="288" customFormat="1">
      <c r="A397" s="284" t="s">
        <v>69</v>
      </c>
      <c r="B397" s="451" t="s">
        <v>363</v>
      </c>
      <c r="C397" s="452"/>
      <c r="D397" s="452"/>
      <c r="E397" s="452"/>
      <c r="F397" s="452"/>
      <c r="G397" s="452"/>
      <c r="H397" s="452"/>
      <c r="I397" s="453"/>
    </row>
    <row r="398" spans="1:9" s="264" customFormat="1" ht="33.75">
      <c r="A398" s="229" t="s">
        <v>376</v>
      </c>
      <c r="B398" s="230" t="s">
        <v>148</v>
      </c>
      <c r="C398" s="137" t="s">
        <v>142</v>
      </c>
      <c r="D398" s="259" t="s">
        <v>410</v>
      </c>
      <c r="E398" s="252" t="s">
        <v>5</v>
      </c>
      <c r="F398" s="260">
        <v>2</v>
      </c>
      <c r="G398" s="261"/>
      <c r="H398" s="140">
        <f>G398*(1+$I$9)</f>
        <v>0</v>
      </c>
      <c r="I398" s="216">
        <f>ROUND((F398*H398),2)</f>
        <v>0</v>
      </c>
    </row>
    <row r="399" spans="1:9" s="264" customFormat="1" ht="33.75">
      <c r="A399" s="229" t="s">
        <v>377</v>
      </c>
      <c r="B399" s="230" t="s">
        <v>152</v>
      </c>
      <c r="C399" s="137" t="s">
        <v>142</v>
      </c>
      <c r="D399" s="259" t="s">
        <v>435</v>
      </c>
      <c r="E399" s="252" t="s">
        <v>5</v>
      </c>
      <c r="F399" s="260">
        <v>1</v>
      </c>
      <c r="G399" s="261"/>
      <c r="H399" s="140">
        <f>G399*(1+$I$9)</f>
        <v>0</v>
      </c>
      <c r="I399" s="216">
        <f t="shared" ref="I399" si="49">ROUND((F399*H399),2)</f>
        <v>0</v>
      </c>
    </row>
    <row r="400" spans="1:9" s="264" customFormat="1" ht="22.5">
      <c r="A400" s="229" t="s">
        <v>378</v>
      </c>
      <c r="B400" s="230" t="s">
        <v>150</v>
      </c>
      <c r="C400" s="137" t="s">
        <v>142</v>
      </c>
      <c r="D400" s="259" t="s">
        <v>411</v>
      </c>
      <c r="E400" s="252" t="s">
        <v>5</v>
      </c>
      <c r="F400" s="260">
        <v>1</v>
      </c>
      <c r="G400" s="261"/>
      <c r="H400" s="140">
        <f>G400*(1+$I$9)</f>
        <v>0</v>
      </c>
      <c r="I400" s="216">
        <f>ROUND((F400*H400),2)</f>
        <v>0</v>
      </c>
    </row>
    <row r="401" spans="1:9" s="264" customFormat="1" ht="33.75">
      <c r="A401" s="229" t="s">
        <v>379</v>
      </c>
      <c r="B401" s="230" t="s">
        <v>149</v>
      </c>
      <c r="C401" s="152" t="s">
        <v>142</v>
      </c>
      <c r="D401" s="258" t="s">
        <v>412</v>
      </c>
      <c r="E401" s="252" t="s">
        <v>5</v>
      </c>
      <c r="F401" s="260">
        <v>1</v>
      </c>
      <c r="G401" s="261"/>
      <c r="H401" s="140">
        <f>G401*(1+$I$9)</f>
        <v>0</v>
      </c>
      <c r="I401" s="216">
        <f>ROUND((F401*H401),2)</f>
        <v>0</v>
      </c>
    </row>
    <row r="402" spans="1:9" s="288" customFormat="1">
      <c r="A402" s="284" t="s">
        <v>70</v>
      </c>
      <c r="B402" s="451" t="s">
        <v>383</v>
      </c>
      <c r="C402" s="452"/>
      <c r="D402" s="452"/>
      <c r="E402" s="452"/>
      <c r="F402" s="452"/>
      <c r="G402" s="452"/>
      <c r="H402" s="452"/>
      <c r="I402" s="453"/>
    </row>
    <row r="403" spans="1:9" s="264" customFormat="1" ht="33.75">
      <c r="A403" s="229" t="s">
        <v>386</v>
      </c>
      <c r="B403" s="246" t="s">
        <v>384</v>
      </c>
      <c r="C403" s="137" t="s">
        <v>167</v>
      </c>
      <c r="D403" s="271" t="s">
        <v>385</v>
      </c>
      <c r="E403" s="267" t="s">
        <v>6</v>
      </c>
      <c r="F403" s="268">
        <f>F391</f>
        <v>6</v>
      </c>
      <c r="G403" s="269"/>
      <c r="H403" s="140">
        <f>G403*(1+$I$9)</f>
        <v>0</v>
      </c>
      <c r="I403" s="216">
        <f t="shared" ref="I403" si="50">ROUND((F403*H403),2)</f>
        <v>0</v>
      </c>
    </row>
    <row r="404" spans="1:9" s="288" customFormat="1">
      <c r="A404" s="284" t="s">
        <v>71</v>
      </c>
      <c r="B404" s="451" t="s">
        <v>352</v>
      </c>
      <c r="C404" s="452"/>
      <c r="D404" s="452"/>
      <c r="E404" s="452"/>
      <c r="F404" s="452"/>
      <c r="G404" s="452"/>
      <c r="H404" s="452"/>
      <c r="I404" s="453"/>
    </row>
    <row r="405" spans="1:9" s="264" customFormat="1" ht="79.5" customHeight="1">
      <c r="A405" s="229" t="s">
        <v>387</v>
      </c>
      <c r="B405" s="246">
        <v>105367</v>
      </c>
      <c r="C405" s="137" t="s">
        <v>146</v>
      </c>
      <c r="D405" s="271" t="s">
        <v>381</v>
      </c>
      <c r="E405" s="267" t="s">
        <v>5</v>
      </c>
      <c r="F405" s="268">
        <f>F395</f>
        <v>2</v>
      </c>
      <c r="G405" s="269"/>
      <c r="H405" s="140">
        <f>G405*(1+$I$9)</f>
        <v>0</v>
      </c>
      <c r="I405" s="216">
        <f t="shared" ref="I405:I408" si="51">ROUND((F405*H405),2)</f>
        <v>0</v>
      </c>
    </row>
    <row r="406" spans="1:9" s="264" customFormat="1" ht="79.5" customHeight="1">
      <c r="A406" s="229" t="s">
        <v>388</v>
      </c>
      <c r="B406" s="246">
        <v>105286</v>
      </c>
      <c r="C406" s="137" t="s">
        <v>146</v>
      </c>
      <c r="D406" s="271" t="s">
        <v>382</v>
      </c>
      <c r="E406" s="267" t="s">
        <v>5</v>
      </c>
      <c r="F406" s="268">
        <f>F393</f>
        <v>2</v>
      </c>
      <c r="G406" s="269"/>
      <c r="H406" s="140">
        <f>G406*(1+$I$9)</f>
        <v>0</v>
      </c>
      <c r="I406" s="216">
        <f t="shared" si="51"/>
        <v>0</v>
      </c>
    </row>
    <row r="407" spans="1:9" s="264" customFormat="1" ht="79.5" customHeight="1">
      <c r="A407" s="229" t="s">
        <v>389</v>
      </c>
      <c r="B407" s="246">
        <v>105290</v>
      </c>
      <c r="C407" s="137" t="s">
        <v>146</v>
      </c>
      <c r="D407" s="271" t="s">
        <v>403</v>
      </c>
      <c r="E407" s="267" t="s">
        <v>5</v>
      </c>
      <c r="F407" s="268">
        <f>F394</f>
        <v>2</v>
      </c>
      <c r="G407" s="269"/>
      <c r="H407" s="140">
        <f>G407*(1+$I$9)</f>
        <v>0</v>
      </c>
      <c r="I407" s="216">
        <f t="shared" si="51"/>
        <v>0</v>
      </c>
    </row>
    <row r="408" spans="1:9" s="264" customFormat="1" ht="67.5">
      <c r="A408" s="229" t="s">
        <v>404</v>
      </c>
      <c r="B408" s="246">
        <v>97121</v>
      </c>
      <c r="C408" s="137" t="s">
        <v>146</v>
      </c>
      <c r="D408" s="271" t="s">
        <v>349</v>
      </c>
      <c r="E408" s="267" t="s">
        <v>5</v>
      </c>
      <c r="F408" s="268">
        <f>F396</f>
        <v>20</v>
      </c>
      <c r="G408" s="269"/>
      <c r="H408" s="140">
        <f>G408*(1+$I$9)</f>
        <v>0</v>
      </c>
      <c r="I408" s="216">
        <f t="shared" si="51"/>
        <v>0</v>
      </c>
    </row>
    <row r="409" spans="1:9" s="288" customFormat="1" ht="11.25" customHeight="1">
      <c r="A409" s="284" t="s">
        <v>72</v>
      </c>
      <c r="B409" s="451" t="s">
        <v>390</v>
      </c>
      <c r="C409" s="452"/>
      <c r="D409" s="452"/>
      <c r="E409" s="452"/>
      <c r="F409" s="452"/>
      <c r="G409" s="452"/>
      <c r="H409" s="452"/>
      <c r="I409" s="453"/>
    </row>
    <row r="410" spans="1:9" s="264" customFormat="1" ht="22.5">
      <c r="A410" s="229" t="s">
        <v>391</v>
      </c>
      <c r="B410" s="246">
        <v>70140057</v>
      </c>
      <c r="C410" s="137" t="s">
        <v>142</v>
      </c>
      <c r="D410" s="271" t="s">
        <v>393</v>
      </c>
      <c r="E410" s="267" t="s">
        <v>5</v>
      </c>
      <c r="F410" s="268">
        <f>F398+F399</f>
        <v>3</v>
      </c>
      <c r="G410" s="269"/>
      <c r="H410" s="140">
        <f>G410*(1+$I$9)</f>
        <v>0</v>
      </c>
      <c r="I410" s="216">
        <f t="shared" ref="I410:I411" si="52">ROUND((F410*H410),2)</f>
        <v>0</v>
      </c>
    </row>
    <row r="411" spans="1:9" s="264" customFormat="1" ht="22.5">
      <c r="A411" s="229" t="s">
        <v>392</v>
      </c>
      <c r="B411" s="246">
        <v>70140072</v>
      </c>
      <c r="C411" s="137" t="s">
        <v>142</v>
      </c>
      <c r="D411" s="271" t="s">
        <v>394</v>
      </c>
      <c r="E411" s="267" t="s">
        <v>5</v>
      </c>
      <c r="F411" s="268">
        <f>F401</f>
        <v>1</v>
      </c>
      <c r="G411" s="269"/>
      <c r="H411" s="140">
        <f>G411*(1+$I$9)</f>
        <v>0</v>
      </c>
      <c r="I411" s="216">
        <f t="shared" si="52"/>
        <v>0</v>
      </c>
    </row>
    <row r="412" spans="1:9" s="264" customFormat="1" ht="12.75" customHeight="1">
      <c r="A412" s="442" t="str">
        <f>CONCATENATE("SUBTOTAL ",A381)</f>
        <v>SUBTOTAL 6</v>
      </c>
      <c r="B412" s="443"/>
      <c r="C412" s="443"/>
      <c r="D412" s="443"/>
      <c r="E412" s="443"/>
      <c r="F412" s="443"/>
      <c r="G412" s="443"/>
      <c r="H412" s="444"/>
      <c r="I412" s="265">
        <f>SUM(I383:I411)</f>
        <v>0</v>
      </c>
    </row>
    <row r="413" spans="1:9" ht="18" customHeight="1">
      <c r="A413" s="423" t="s">
        <v>438</v>
      </c>
      <c r="B413" s="424"/>
      <c r="C413" s="424"/>
      <c r="D413" s="424"/>
      <c r="E413" s="424"/>
      <c r="F413" s="424"/>
      <c r="G413" s="424"/>
      <c r="H413" s="425"/>
      <c r="I413" s="257">
        <f>I412+I380+I369+I360+I356+I350</f>
        <v>0</v>
      </c>
    </row>
    <row r="414" spans="1:9" s="134" customFormat="1" ht="16.5" customHeight="1">
      <c r="A414" s="460" t="s">
        <v>447</v>
      </c>
      <c r="B414" s="461"/>
      <c r="C414" s="461"/>
      <c r="D414" s="461"/>
      <c r="E414" s="461"/>
      <c r="F414" s="461"/>
      <c r="G414" s="461"/>
      <c r="H414" s="461"/>
      <c r="I414" s="462"/>
    </row>
    <row r="415" spans="1:9" s="296" customFormat="1" ht="12" customHeight="1">
      <c r="A415" s="150">
        <v>1</v>
      </c>
      <c r="B415" s="448" t="s">
        <v>360</v>
      </c>
      <c r="C415" s="449"/>
      <c r="D415" s="449"/>
      <c r="E415" s="449"/>
      <c r="F415" s="449"/>
      <c r="G415" s="449"/>
      <c r="H415" s="449"/>
      <c r="I415" s="450"/>
    </row>
    <row r="416" spans="1:9" s="296" customFormat="1" ht="12" customHeight="1">
      <c r="A416" s="150" t="s">
        <v>4</v>
      </c>
      <c r="B416" s="169" t="s">
        <v>439</v>
      </c>
      <c r="C416" s="170"/>
      <c r="D416" s="170"/>
      <c r="E416" s="170"/>
      <c r="F416" s="170"/>
      <c r="G416" s="170"/>
      <c r="H416" s="220"/>
      <c r="I416" s="171"/>
    </row>
    <row r="417" spans="1:9" s="296" customFormat="1" ht="56.25">
      <c r="A417" s="223" t="s">
        <v>162</v>
      </c>
      <c r="B417" s="152" t="s">
        <v>292</v>
      </c>
      <c r="C417" s="152" t="s">
        <v>142</v>
      </c>
      <c r="D417" s="297" t="s">
        <v>446</v>
      </c>
      <c r="E417" s="223" t="s">
        <v>5</v>
      </c>
      <c r="F417" s="249">
        <v>2</v>
      </c>
      <c r="G417" s="225"/>
      <c r="H417" s="140">
        <f>G417*(1+$I$9)</f>
        <v>0</v>
      </c>
      <c r="I417" s="217">
        <f t="shared" ref="I417:I421" si="53">ROUND((F417*H417),2)</f>
        <v>0</v>
      </c>
    </row>
    <row r="418" spans="1:9" s="296" customFormat="1" ht="56.25">
      <c r="A418" s="223" t="s">
        <v>165</v>
      </c>
      <c r="B418" s="152" t="s">
        <v>293</v>
      </c>
      <c r="C418" s="152" t="s">
        <v>142</v>
      </c>
      <c r="D418" s="297" t="s">
        <v>281</v>
      </c>
      <c r="E418" s="223" t="s">
        <v>5</v>
      </c>
      <c r="F418" s="249">
        <v>1</v>
      </c>
      <c r="G418" s="225"/>
      <c r="H418" s="140">
        <f>G418*(1+$I$9)</f>
        <v>0</v>
      </c>
      <c r="I418" s="217">
        <f t="shared" si="53"/>
        <v>0</v>
      </c>
    </row>
    <row r="419" spans="1:9" s="270" customFormat="1" ht="22.5">
      <c r="A419" s="223" t="s">
        <v>170</v>
      </c>
      <c r="B419" s="152" t="s">
        <v>145</v>
      </c>
      <c r="C419" s="152" t="s">
        <v>236</v>
      </c>
      <c r="D419" s="298" t="s">
        <v>440</v>
      </c>
      <c r="E419" s="223" t="s">
        <v>5</v>
      </c>
      <c r="F419" s="249">
        <v>1</v>
      </c>
      <c r="G419" s="225"/>
      <c r="H419" s="140">
        <f>G419*(1+$I$9)</f>
        <v>0</v>
      </c>
      <c r="I419" s="217">
        <f>ROUND((F419*H419),2)</f>
        <v>0</v>
      </c>
    </row>
    <row r="420" spans="1:9" s="288" customFormat="1">
      <c r="A420" s="284" t="s">
        <v>123</v>
      </c>
      <c r="B420" s="451" t="s">
        <v>363</v>
      </c>
      <c r="C420" s="452"/>
      <c r="D420" s="452"/>
      <c r="E420" s="452"/>
      <c r="F420" s="452"/>
      <c r="G420" s="452"/>
      <c r="H420" s="452"/>
      <c r="I420" s="453"/>
    </row>
    <row r="421" spans="1:9" s="296" customFormat="1" ht="33.75">
      <c r="A421" s="223" t="s">
        <v>180</v>
      </c>
      <c r="B421" s="224" t="s">
        <v>214</v>
      </c>
      <c r="C421" s="152" t="s">
        <v>142</v>
      </c>
      <c r="D421" s="297" t="s">
        <v>441</v>
      </c>
      <c r="E421" s="223" t="s">
        <v>5</v>
      </c>
      <c r="F421" s="249">
        <v>1</v>
      </c>
      <c r="G421" s="225"/>
      <c r="H421" s="140">
        <f>G421*(1+$I$9)</f>
        <v>0</v>
      </c>
      <c r="I421" s="217">
        <f t="shared" si="53"/>
        <v>0</v>
      </c>
    </row>
    <row r="422" spans="1:9" s="288" customFormat="1" ht="11.25" customHeight="1">
      <c r="A422" s="284" t="s">
        <v>124</v>
      </c>
      <c r="B422" s="451" t="s">
        <v>442</v>
      </c>
      <c r="C422" s="452"/>
      <c r="D422" s="452"/>
      <c r="E422" s="452"/>
      <c r="F422" s="452"/>
      <c r="G422" s="452"/>
      <c r="H422" s="452"/>
      <c r="I422" s="453"/>
    </row>
    <row r="423" spans="1:9" s="264" customFormat="1" ht="22.5">
      <c r="A423" s="229" t="s">
        <v>220</v>
      </c>
      <c r="B423" s="246">
        <v>70140023</v>
      </c>
      <c r="C423" s="137" t="s">
        <v>142</v>
      </c>
      <c r="D423" s="271" t="s">
        <v>443</v>
      </c>
      <c r="E423" s="267" t="s">
        <v>5</v>
      </c>
      <c r="F423" s="268">
        <f>(14*2)+19.14+20</f>
        <v>67.14</v>
      </c>
      <c r="G423" s="269"/>
      <c r="H423" s="140">
        <f>G423*(1+$I$9)</f>
        <v>0</v>
      </c>
      <c r="I423" s="216">
        <f t="shared" ref="I423:I424" si="54">ROUND((F423*H423),2)</f>
        <v>0</v>
      </c>
    </row>
    <row r="424" spans="1:9" s="264" customFormat="1" ht="22.5">
      <c r="A424" s="229" t="s">
        <v>224</v>
      </c>
      <c r="B424" s="246">
        <v>70140072</v>
      </c>
      <c r="C424" s="137" t="s">
        <v>142</v>
      </c>
      <c r="D424" s="271" t="s">
        <v>394</v>
      </c>
      <c r="E424" s="267" t="s">
        <v>5</v>
      </c>
      <c r="F424" s="268">
        <f>F421</f>
        <v>1</v>
      </c>
      <c r="G424" s="269"/>
      <c r="H424" s="140">
        <f>G424*(1+$I$9)</f>
        <v>0</v>
      </c>
      <c r="I424" s="216">
        <f t="shared" si="54"/>
        <v>0</v>
      </c>
    </row>
    <row r="425" spans="1:9" s="270" customFormat="1" ht="12" customHeight="1">
      <c r="A425" s="457" t="s">
        <v>444</v>
      </c>
      <c r="B425" s="458"/>
      <c r="C425" s="458"/>
      <c r="D425" s="458"/>
      <c r="E425" s="458"/>
      <c r="F425" s="458"/>
      <c r="G425" s="458"/>
      <c r="H425" s="459"/>
      <c r="I425" s="227">
        <f>SUM(I417:I424)</f>
        <v>0</v>
      </c>
    </row>
    <row r="426" spans="1:9" ht="18" customHeight="1">
      <c r="A426" s="423" t="s">
        <v>445</v>
      </c>
      <c r="B426" s="424"/>
      <c r="C426" s="424"/>
      <c r="D426" s="424"/>
      <c r="E426" s="424"/>
      <c r="F426" s="424"/>
      <c r="G426" s="424"/>
      <c r="H426" s="425"/>
      <c r="I426" s="257">
        <f>I425</f>
        <v>0</v>
      </c>
    </row>
    <row r="427" spans="1:9" s="134" customFormat="1" ht="16.5" customHeight="1">
      <c r="A427" s="460" t="s">
        <v>448</v>
      </c>
      <c r="B427" s="461"/>
      <c r="C427" s="461"/>
      <c r="D427" s="461"/>
      <c r="E427" s="461"/>
      <c r="F427" s="461"/>
      <c r="G427" s="461"/>
      <c r="H427" s="461"/>
      <c r="I427" s="462"/>
    </row>
    <row r="428" spans="1:9" s="296" customFormat="1" ht="12" customHeight="1">
      <c r="A428" s="150">
        <v>1</v>
      </c>
      <c r="B428" s="448" t="s">
        <v>360</v>
      </c>
      <c r="C428" s="449"/>
      <c r="D428" s="449"/>
      <c r="E428" s="449"/>
      <c r="F428" s="449"/>
      <c r="G428" s="449"/>
      <c r="H428" s="449"/>
      <c r="I428" s="450"/>
    </row>
    <row r="429" spans="1:9" s="296" customFormat="1" ht="12" customHeight="1">
      <c r="A429" s="150" t="s">
        <v>4</v>
      </c>
      <c r="B429" s="169" t="s">
        <v>439</v>
      </c>
      <c r="C429" s="170"/>
      <c r="D429" s="170"/>
      <c r="E429" s="170"/>
      <c r="F429" s="170"/>
      <c r="G429" s="170"/>
      <c r="H429" s="220"/>
      <c r="I429" s="171"/>
    </row>
    <row r="430" spans="1:9" s="296" customFormat="1" ht="56.25">
      <c r="A430" s="223" t="s">
        <v>162</v>
      </c>
      <c r="B430" s="152" t="s">
        <v>296</v>
      </c>
      <c r="C430" s="152" t="s">
        <v>142</v>
      </c>
      <c r="D430" s="297" t="s">
        <v>295</v>
      </c>
      <c r="E430" s="223" t="s">
        <v>5</v>
      </c>
      <c r="F430" s="249">
        <v>2</v>
      </c>
      <c r="G430" s="225"/>
      <c r="H430" s="140">
        <f>G430*(1+$I$9)</f>
        <v>0</v>
      </c>
      <c r="I430" s="217">
        <f t="shared" ref="I430:I436" si="55">ROUND((F430*H430),2)</f>
        <v>0</v>
      </c>
    </row>
    <row r="431" spans="1:9" s="296" customFormat="1" ht="56.25">
      <c r="A431" s="223" t="s">
        <v>165</v>
      </c>
      <c r="B431" s="152" t="s">
        <v>292</v>
      </c>
      <c r="C431" s="152" t="s">
        <v>142</v>
      </c>
      <c r="D431" s="297" t="s">
        <v>450</v>
      </c>
      <c r="E431" s="223" t="s">
        <v>5</v>
      </c>
      <c r="F431" s="249">
        <v>2</v>
      </c>
      <c r="G431" s="225"/>
      <c r="H431" s="140">
        <f>G431*(1+$I$9)</f>
        <v>0</v>
      </c>
      <c r="I431" s="217">
        <f t="shared" si="55"/>
        <v>0</v>
      </c>
    </row>
    <row r="432" spans="1:9" s="296" customFormat="1" ht="56.25">
      <c r="A432" s="223" t="s">
        <v>170</v>
      </c>
      <c r="B432" s="152" t="s">
        <v>293</v>
      </c>
      <c r="C432" s="152" t="s">
        <v>142</v>
      </c>
      <c r="D432" s="297" t="s">
        <v>281</v>
      </c>
      <c r="E432" s="223" t="s">
        <v>5</v>
      </c>
      <c r="F432" s="249">
        <v>1</v>
      </c>
      <c r="G432" s="225"/>
      <c r="H432" s="140">
        <f>G432*(1+$I$9)</f>
        <v>0</v>
      </c>
      <c r="I432" s="217">
        <f t="shared" si="55"/>
        <v>0</v>
      </c>
    </row>
    <row r="433" spans="1:9" s="270" customFormat="1" ht="22.5">
      <c r="A433" s="223" t="s">
        <v>173</v>
      </c>
      <c r="B433" s="152" t="s">
        <v>145</v>
      </c>
      <c r="C433" s="152" t="s">
        <v>236</v>
      </c>
      <c r="D433" s="298" t="s">
        <v>440</v>
      </c>
      <c r="E433" s="223" t="s">
        <v>5</v>
      </c>
      <c r="F433" s="249">
        <v>1</v>
      </c>
      <c r="G433" s="225"/>
      <c r="H433" s="140">
        <f>G433*(1+$I$9)</f>
        <v>0</v>
      </c>
      <c r="I433" s="217">
        <f>ROUND((F433*H433),2)</f>
        <v>0</v>
      </c>
    </row>
    <row r="434" spans="1:9" s="288" customFormat="1">
      <c r="A434" s="284" t="s">
        <v>123</v>
      </c>
      <c r="B434" s="451" t="s">
        <v>363</v>
      </c>
      <c r="C434" s="452"/>
      <c r="D434" s="452"/>
      <c r="E434" s="452"/>
      <c r="F434" s="452"/>
      <c r="G434" s="452"/>
      <c r="H434" s="452"/>
      <c r="I434" s="453"/>
    </row>
    <row r="435" spans="1:9" s="296" customFormat="1" ht="67.5">
      <c r="A435" s="223" t="s">
        <v>180</v>
      </c>
      <c r="B435" s="152" t="s">
        <v>298</v>
      </c>
      <c r="C435" s="152" t="s">
        <v>142</v>
      </c>
      <c r="D435" s="297" t="s">
        <v>297</v>
      </c>
      <c r="E435" s="223" t="s">
        <v>5</v>
      </c>
      <c r="F435" s="249">
        <v>2</v>
      </c>
      <c r="G435" s="225"/>
      <c r="H435" s="140">
        <f>G435*(1+$I$9)</f>
        <v>0</v>
      </c>
      <c r="I435" s="217">
        <f>ROUND((F435*H435),2)</f>
        <v>0</v>
      </c>
    </row>
    <row r="436" spans="1:9" s="296" customFormat="1" ht="33.75">
      <c r="A436" s="223" t="s">
        <v>219</v>
      </c>
      <c r="B436" s="224" t="s">
        <v>214</v>
      </c>
      <c r="C436" s="228" t="s">
        <v>142</v>
      </c>
      <c r="D436" s="297" t="s">
        <v>441</v>
      </c>
      <c r="E436" s="223" t="s">
        <v>5</v>
      </c>
      <c r="F436" s="249">
        <v>1</v>
      </c>
      <c r="G436" s="225"/>
      <c r="H436" s="140">
        <f>G436*(1+$I$9)</f>
        <v>0</v>
      </c>
      <c r="I436" s="217">
        <f t="shared" si="55"/>
        <v>0</v>
      </c>
    </row>
    <row r="437" spans="1:9" s="288" customFormat="1" ht="11.25" customHeight="1">
      <c r="A437" s="284" t="s">
        <v>124</v>
      </c>
      <c r="B437" s="451" t="s">
        <v>442</v>
      </c>
      <c r="C437" s="452"/>
      <c r="D437" s="452"/>
      <c r="E437" s="452"/>
      <c r="F437" s="452"/>
      <c r="G437" s="452"/>
      <c r="H437" s="452"/>
      <c r="I437" s="453"/>
    </row>
    <row r="438" spans="1:9" s="264" customFormat="1" ht="22.5">
      <c r="A438" s="229" t="s">
        <v>220</v>
      </c>
      <c r="B438" s="246">
        <v>70140023</v>
      </c>
      <c r="C438" s="137" t="s">
        <v>142</v>
      </c>
      <c r="D438" s="271" t="s">
        <v>443</v>
      </c>
      <c r="E438" s="267" t="s">
        <v>5</v>
      </c>
      <c r="F438" s="268">
        <f>(30.5*2)+(14*2)+19.14+20</f>
        <v>128.13999999999999</v>
      </c>
      <c r="G438" s="269"/>
      <c r="H438" s="140">
        <f>G438*(1+$I$9)</f>
        <v>0</v>
      </c>
      <c r="I438" s="216">
        <f t="shared" ref="I438:I440" si="56">ROUND((F438*H438),2)</f>
        <v>0</v>
      </c>
    </row>
    <row r="439" spans="1:9" s="264" customFormat="1" ht="22.5">
      <c r="A439" s="229" t="s">
        <v>224</v>
      </c>
      <c r="B439" s="246">
        <v>70140057</v>
      </c>
      <c r="C439" s="137" t="s">
        <v>142</v>
      </c>
      <c r="D439" s="271" t="s">
        <v>393</v>
      </c>
      <c r="E439" s="267" t="s">
        <v>5</v>
      </c>
      <c r="F439" s="268">
        <f>F435</f>
        <v>2</v>
      </c>
      <c r="G439" s="269"/>
      <c r="H439" s="140">
        <f>G439*(1+$I$9)</f>
        <v>0</v>
      </c>
      <c r="I439" s="216">
        <f t="shared" si="56"/>
        <v>0</v>
      </c>
    </row>
    <row r="440" spans="1:9" s="264" customFormat="1" ht="22.5">
      <c r="A440" s="229" t="s">
        <v>225</v>
      </c>
      <c r="B440" s="246">
        <v>70140072</v>
      </c>
      <c r="C440" s="137" t="s">
        <v>142</v>
      </c>
      <c r="D440" s="271" t="s">
        <v>394</v>
      </c>
      <c r="E440" s="267" t="s">
        <v>5</v>
      </c>
      <c r="F440" s="268">
        <f>F436</f>
        <v>1</v>
      </c>
      <c r="G440" s="269"/>
      <c r="H440" s="140">
        <f>G440*(1+$I$9)</f>
        <v>0</v>
      </c>
      <c r="I440" s="216">
        <f t="shared" si="56"/>
        <v>0</v>
      </c>
    </row>
    <row r="441" spans="1:9" s="270" customFormat="1" ht="12.75" customHeight="1">
      <c r="A441" s="457" t="s">
        <v>444</v>
      </c>
      <c r="B441" s="458"/>
      <c r="C441" s="458"/>
      <c r="D441" s="458"/>
      <c r="E441" s="458"/>
      <c r="F441" s="458"/>
      <c r="G441" s="458"/>
      <c r="H441" s="459"/>
      <c r="I441" s="189">
        <f>SUM(I430:I440)</f>
        <v>0</v>
      </c>
    </row>
    <row r="442" spans="1:9" ht="18" customHeight="1">
      <c r="A442" s="423" t="s">
        <v>449</v>
      </c>
      <c r="B442" s="424"/>
      <c r="C442" s="424"/>
      <c r="D442" s="424"/>
      <c r="E442" s="424"/>
      <c r="F442" s="424"/>
      <c r="G442" s="424"/>
      <c r="H442" s="425"/>
      <c r="I442" s="257">
        <f>I441</f>
        <v>0</v>
      </c>
    </row>
    <row r="443" spans="1:9" ht="18" customHeight="1">
      <c r="A443" s="423" t="s">
        <v>315</v>
      </c>
      <c r="B443" s="424"/>
      <c r="C443" s="424"/>
      <c r="D443" s="424"/>
      <c r="E443" s="424"/>
      <c r="F443" s="424"/>
      <c r="G443" s="424"/>
      <c r="H443" s="425"/>
      <c r="I443" s="257">
        <f>I442+I426+I413+I338+I281+I206+I131+I55</f>
        <v>0</v>
      </c>
    </row>
    <row r="446" spans="1:9">
      <c r="I446" s="148"/>
    </row>
    <row r="65701" spans="1:9" s="149" customFormat="1">
      <c r="A65701" s="218"/>
      <c r="B65701" s="144"/>
      <c r="C65701" s="180"/>
      <c r="D65701" s="144"/>
      <c r="E65701" s="145"/>
      <c r="F65701" s="146"/>
      <c r="G65701" s="142"/>
      <c r="H65701" s="221"/>
      <c r="I65701" s="147"/>
    </row>
    <row r="65702" spans="1:9" s="149" customFormat="1">
      <c r="A65702" s="218"/>
      <c r="B65702" s="144"/>
      <c r="C65702" s="180"/>
      <c r="D65702" s="144"/>
      <c r="E65702" s="145"/>
      <c r="F65702" s="146"/>
      <c r="G65702" s="142"/>
      <c r="H65702" s="221"/>
      <c r="I65702" s="147"/>
    </row>
    <row r="65703" spans="1:9" s="149" customFormat="1">
      <c r="A65703" s="218"/>
      <c r="B65703" s="144"/>
      <c r="C65703" s="180"/>
      <c r="D65703" s="144"/>
      <c r="E65703" s="145"/>
      <c r="F65703" s="146"/>
      <c r="G65703" s="142"/>
      <c r="H65703" s="221"/>
      <c r="I65703" s="147"/>
    </row>
    <row r="65704" spans="1:9" s="149" customFormat="1">
      <c r="A65704" s="218"/>
      <c r="B65704" s="144"/>
      <c r="C65704" s="180"/>
      <c r="D65704" s="144"/>
      <c r="E65704" s="145"/>
      <c r="F65704" s="146"/>
      <c r="G65704" s="142"/>
      <c r="H65704" s="221"/>
      <c r="I65704" s="147"/>
    </row>
    <row r="65705" spans="1:9" s="149" customFormat="1">
      <c r="A65705" s="218"/>
      <c r="B65705" s="144"/>
      <c r="C65705" s="180"/>
      <c r="D65705" s="144"/>
      <c r="E65705" s="145"/>
      <c r="F65705" s="146"/>
      <c r="G65705" s="142"/>
      <c r="H65705" s="221"/>
      <c r="I65705" s="147"/>
    </row>
    <row r="65706" spans="1:9" s="149" customFormat="1">
      <c r="A65706" s="218"/>
      <c r="B65706" s="144"/>
      <c r="C65706" s="180"/>
      <c r="D65706" s="144"/>
      <c r="E65706" s="145"/>
      <c r="F65706" s="146"/>
      <c r="G65706" s="142"/>
      <c r="H65706" s="221"/>
      <c r="I65706" s="147"/>
    </row>
    <row r="65707" spans="1:9" s="149" customFormat="1">
      <c r="A65707" s="218"/>
      <c r="B65707" s="144"/>
      <c r="C65707" s="180"/>
      <c r="D65707" s="144"/>
      <c r="E65707" s="145"/>
      <c r="F65707" s="146"/>
      <c r="G65707" s="142"/>
      <c r="H65707" s="221"/>
      <c r="I65707" s="147"/>
    </row>
    <row r="65708" spans="1:9" s="149" customFormat="1">
      <c r="A65708" s="218"/>
      <c r="B65708" s="144"/>
      <c r="C65708" s="180"/>
      <c r="D65708" s="144"/>
      <c r="E65708" s="145"/>
      <c r="F65708" s="146"/>
      <c r="G65708" s="142"/>
      <c r="H65708" s="221"/>
      <c r="I65708" s="147"/>
    </row>
    <row r="65709" spans="1:9" s="149" customFormat="1">
      <c r="A65709" s="218"/>
      <c r="B65709" s="144"/>
      <c r="C65709" s="180"/>
      <c r="D65709" s="144"/>
      <c r="E65709" s="145"/>
      <c r="F65709" s="146"/>
      <c r="G65709" s="142"/>
      <c r="H65709" s="221"/>
      <c r="I65709" s="147"/>
    </row>
    <row r="65710" spans="1:9" s="149" customFormat="1">
      <c r="A65710" s="218"/>
      <c r="B65710" s="144"/>
      <c r="C65710" s="180"/>
      <c r="D65710" s="144"/>
      <c r="E65710" s="145"/>
      <c r="F65710" s="146"/>
      <c r="G65710" s="142"/>
      <c r="H65710" s="221"/>
      <c r="I65710" s="147"/>
    </row>
    <row r="65711" spans="1:9" s="149" customFormat="1">
      <c r="A65711" s="218"/>
      <c r="B65711" s="144"/>
      <c r="C65711" s="180"/>
      <c r="D65711" s="144"/>
      <c r="E65711" s="145"/>
      <c r="F65711" s="146"/>
      <c r="G65711" s="142"/>
      <c r="H65711" s="221"/>
      <c r="I65711" s="147"/>
    </row>
    <row r="65712" spans="1:9" s="149" customFormat="1">
      <c r="A65712" s="218"/>
      <c r="B65712" s="144"/>
      <c r="C65712" s="180"/>
      <c r="D65712" s="144"/>
      <c r="E65712" s="145"/>
      <c r="F65712" s="146"/>
      <c r="G65712" s="142"/>
      <c r="H65712" s="221"/>
      <c r="I65712" s="147"/>
    </row>
    <row r="65713" spans="1:9" s="149" customFormat="1">
      <c r="A65713" s="218"/>
      <c r="B65713" s="144"/>
      <c r="C65713" s="180"/>
      <c r="D65713" s="144"/>
      <c r="E65713" s="145"/>
      <c r="F65713" s="146"/>
      <c r="G65713" s="142"/>
      <c r="H65713" s="221"/>
      <c r="I65713" s="147"/>
    </row>
    <row r="65714" spans="1:9" s="149" customFormat="1">
      <c r="A65714" s="218"/>
      <c r="B65714" s="144"/>
      <c r="C65714" s="180"/>
      <c r="D65714" s="144"/>
      <c r="E65714" s="145"/>
      <c r="F65714" s="146"/>
      <c r="G65714" s="142"/>
      <c r="H65714" s="221"/>
      <c r="I65714" s="147"/>
    </row>
    <row r="65715" spans="1:9" s="149" customFormat="1">
      <c r="A65715" s="218"/>
      <c r="B65715" s="144"/>
      <c r="C65715" s="180"/>
      <c r="D65715" s="144"/>
      <c r="E65715" s="145"/>
      <c r="F65715" s="146"/>
      <c r="G65715" s="142"/>
      <c r="H65715" s="221"/>
      <c r="I65715" s="147"/>
    </row>
    <row r="65716" spans="1:9" s="149" customFormat="1">
      <c r="A65716" s="218"/>
      <c r="B65716" s="144"/>
      <c r="C65716" s="180"/>
      <c r="D65716" s="144"/>
      <c r="E65716" s="145"/>
      <c r="F65716" s="146"/>
      <c r="G65716" s="142"/>
      <c r="H65716" s="221"/>
      <c r="I65716" s="147"/>
    </row>
    <row r="65717" spans="1:9" s="149" customFormat="1">
      <c r="A65717" s="218"/>
      <c r="B65717" s="144"/>
      <c r="C65717" s="180"/>
      <c r="D65717" s="144"/>
      <c r="E65717" s="145"/>
      <c r="F65717" s="146"/>
      <c r="G65717" s="142"/>
      <c r="H65717" s="221"/>
      <c r="I65717" s="147"/>
    </row>
    <row r="65718" spans="1:9" s="149" customFormat="1">
      <c r="A65718" s="218"/>
      <c r="B65718" s="144"/>
      <c r="C65718" s="180"/>
      <c r="D65718" s="144"/>
      <c r="E65718" s="145"/>
      <c r="F65718" s="146"/>
      <c r="G65718" s="142"/>
      <c r="H65718" s="221"/>
      <c r="I65718" s="147"/>
    </row>
    <row r="65719" spans="1:9" s="149" customFormat="1">
      <c r="A65719" s="218"/>
      <c r="B65719" s="144"/>
      <c r="C65719" s="180"/>
      <c r="D65719" s="144"/>
      <c r="E65719" s="145"/>
      <c r="F65719" s="146"/>
      <c r="G65719" s="142"/>
      <c r="H65719" s="221"/>
      <c r="I65719" s="147"/>
    </row>
    <row r="65720" spans="1:9" s="149" customFormat="1">
      <c r="A65720" s="218"/>
      <c r="B65720" s="144"/>
      <c r="C65720" s="180"/>
      <c r="D65720" s="144"/>
      <c r="E65720" s="145"/>
      <c r="F65720" s="146"/>
      <c r="G65720" s="142"/>
      <c r="H65720" s="221"/>
      <c r="I65720" s="147"/>
    </row>
    <row r="65721" spans="1:9" s="149" customFormat="1">
      <c r="A65721" s="218"/>
      <c r="B65721" s="144"/>
      <c r="C65721" s="180"/>
      <c r="D65721" s="144"/>
      <c r="E65721" s="145"/>
      <c r="F65721" s="146"/>
      <c r="G65721" s="142"/>
      <c r="H65721" s="221"/>
      <c r="I65721" s="147"/>
    </row>
    <row r="65722" spans="1:9" s="149" customFormat="1">
      <c r="A65722" s="218"/>
      <c r="B65722" s="144"/>
      <c r="C65722" s="180"/>
      <c r="D65722" s="144"/>
      <c r="E65722" s="145"/>
      <c r="F65722" s="146"/>
      <c r="G65722" s="142"/>
      <c r="H65722" s="221"/>
      <c r="I65722" s="147"/>
    </row>
    <row r="65723" spans="1:9" s="149" customFormat="1">
      <c r="A65723" s="218"/>
      <c r="B65723" s="144"/>
      <c r="C65723" s="180"/>
      <c r="D65723" s="144"/>
      <c r="E65723" s="145"/>
      <c r="F65723" s="146"/>
      <c r="G65723" s="142"/>
      <c r="H65723" s="221"/>
      <c r="I65723" s="147"/>
    </row>
    <row r="65724" spans="1:9" s="149" customFormat="1">
      <c r="A65724" s="218"/>
      <c r="B65724" s="144"/>
      <c r="C65724" s="180"/>
      <c r="D65724" s="144"/>
      <c r="E65724" s="145"/>
      <c r="F65724" s="146"/>
      <c r="G65724" s="142"/>
      <c r="H65724" s="221"/>
      <c r="I65724" s="147"/>
    </row>
    <row r="65725" spans="1:9" s="149" customFormat="1">
      <c r="A65725" s="218"/>
      <c r="B65725" s="144"/>
      <c r="C65725" s="180"/>
      <c r="D65725" s="144"/>
      <c r="E65725" s="145"/>
      <c r="F65725" s="146"/>
      <c r="G65725" s="142"/>
      <c r="H65725" s="221"/>
      <c r="I65725" s="147"/>
    </row>
    <row r="65726" spans="1:9" s="149" customFormat="1">
      <c r="A65726" s="218"/>
      <c r="B65726" s="144"/>
      <c r="C65726" s="180"/>
      <c r="D65726" s="144"/>
      <c r="E65726" s="145"/>
      <c r="F65726" s="146"/>
      <c r="G65726" s="142"/>
      <c r="H65726" s="221"/>
      <c r="I65726" s="147"/>
    </row>
    <row r="65727" spans="1:9" s="149" customFormat="1">
      <c r="A65727" s="218"/>
      <c r="B65727" s="144"/>
      <c r="C65727" s="180"/>
      <c r="D65727" s="144"/>
      <c r="E65727" s="145"/>
      <c r="F65727" s="146"/>
      <c r="G65727" s="142"/>
      <c r="H65727" s="221"/>
      <c r="I65727" s="147"/>
    </row>
    <row r="65728" spans="1:9" s="149" customFormat="1">
      <c r="A65728" s="218"/>
      <c r="B65728" s="144"/>
      <c r="C65728" s="180"/>
      <c r="D65728" s="144"/>
      <c r="E65728" s="145"/>
      <c r="F65728" s="146"/>
      <c r="G65728" s="142"/>
      <c r="H65728" s="221"/>
      <c r="I65728" s="147"/>
    </row>
    <row r="65729" spans="1:9" s="149" customFormat="1">
      <c r="A65729" s="218"/>
      <c r="B65729" s="144"/>
      <c r="C65729" s="180"/>
      <c r="D65729" s="144"/>
      <c r="E65729" s="145"/>
      <c r="F65729" s="146"/>
      <c r="G65729" s="142"/>
      <c r="H65729" s="221"/>
      <c r="I65729" s="147"/>
    </row>
    <row r="65730" spans="1:9" s="149" customFormat="1">
      <c r="A65730" s="218"/>
      <c r="B65730" s="144"/>
      <c r="C65730" s="180"/>
      <c r="D65730" s="144"/>
      <c r="E65730" s="145"/>
      <c r="F65730" s="146"/>
      <c r="G65730" s="142"/>
      <c r="H65730" s="221"/>
      <c r="I65730" s="147"/>
    </row>
    <row r="65731" spans="1:9" s="149" customFormat="1">
      <c r="A65731" s="218"/>
      <c r="B65731" s="144"/>
      <c r="C65731" s="180"/>
      <c r="D65731" s="144"/>
      <c r="E65731" s="145"/>
      <c r="F65731" s="146"/>
      <c r="G65731" s="142"/>
      <c r="H65731" s="221"/>
      <c r="I65731" s="147"/>
    </row>
    <row r="65732" spans="1:9" s="149" customFormat="1">
      <c r="A65732" s="218"/>
      <c r="B65732" s="144"/>
      <c r="C65732" s="180"/>
      <c r="D65732" s="144"/>
      <c r="E65732" s="145"/>
      <c r="F65732" s="146"/>
      <c r="G65732" s="142"/>
      <c r="H65732" s="221"/>
      <c r="I65732" s="147"/>
    </row>
    <row r="65733" spans="1:9" s="149" customFormat="1">
      <c r="A65733" s="218"/>
      <c r="B65733" s="144"/>
      <c r="C65733" s="180"/>
      <c r="D65733" s="144"/>
      <c r="E65733" s="145"/>
      <c r="F65733" s="146"/>
      <c r="G65733" s="142"/>
      <c r="H65733" s="221"/>
      <c r="I65733" s="147"/>
    </row>
    <row r="65734" spans="1:9" s="149" customFormat="1">
      <c r="A65734" s="218"/>
      <c r="B65734" s="144"/>
      <c r="C65734" s="180"/>
      <c r="D65734" s="144"/>
      <c r="E65734" s="145"/>
      <c r="F65734" s="146"/>
      <c r="G65734" s="142"/>
      <c r="H65734" s="221"/>
      <c r="I65734" s="147"/>
    </row>
    <row r="65735" spans="1:9" s="149" customFormat="1">
      <c r="A65735" s="218"/>
      <c r="B65735" s="144"/>
      <c r="C65735" s="180"/>
      <c r="D65735" s="144"/>
      <c r="E65735" s="145"/>
      <c r="F65735" s="146"/>
      <c r="G65735" s="142"/>
      <c r="H65735" s="221"/>
      <c r="I65735" s="147"/>
    </row>
    <row r="65736" spans="1:9" s="149" customFormat="1">
      <c r="A65736" s="218"/>
      <c r="B65736" s="144"/>
      <c r="C65736" s="180"/>
      <c r="D65736" s="144"/>
      <c r="E65736" s="145"/>
      <c r="F65736" s="146"/>
      <c r="G65736" s="142"/>
      <c r="H65736" s="221"/>
      <c r="I65736" s="147"/>
    </row>
    <row r="65737" spans="1:9" s="149" customFormat="1">
      <c r="A65737" s="218"/>
      <c r="B65737" s="144"/>
      <c r="C65737" s="180"/>
      <c r="D65737" s="144"/>
      <c r="E65737" s="145"/>
      <c r="F65737" s="146"/>
      <c r="G65737" s="142"/>
      <c r="H65737" s="221"/>
      <c r="I65737" s="147"/>
    </row>
    <row r="65738" spans="1:9" s="149" customFormat="1">
      <c r="A65738" s="218"/>
      <c r="B65738" s="144"/>
      <c r="C65738" s="180"/>
      <c r="D65738" s="144"/>
      <c r="E65738" s="145"/>
      <c r="F65738" s="146"/>
      <c r="G65738" s="142"/>
      <c r="H65738" s="221"/>
      <c r="I65738" s="147"/>
    </row>
    <row r="65739" spans="1:9" s="149" customFormat="1">
      <c r="A65739" s="218"/>
      <c r="B65739" s="144"/>
      <c r="C65739" s="180"/>
      <c r="D65739" s="144"/>
      <c r="E65739" s="145"/>
      <c r="F65739" s="146"/>
      <c r="G65739" s="142"/>
      <c r="H65739" s="221"/>
      <c r="I65739" s="147"/>
    </row>
    <row r="65740" spans="1:9" s="149" customFormat="1">
      <c r="A65740" s="218"/>
      <c r="B65740" s="144"/>
      <c r="C65740" s="180"/>
      <c r="D65740" s="144"/>
      <c r="E65740" s="145"/>
      <c r="F65740" s="146"/>
      <c r="G65740" s="142"/>
      <c r="H65740" s="221"/>
      <c r="I65740" s="147"/>
    </row>
    <row r="65741" spans="1:9" s="149" customFormat="1">
      <c r="A65741" s="218"/>
      <c r="B65741" s="144"/>
      <c r="C65741" s="180"/>
      <c r="D65741" s="144"/>
      <c r="E65741" s="145"/>
      <c r="F65741" s="146"/>
      <c r="G65741" s="142"/>
      <c r="H65741" s="221"/>
      <c r="I65741" s="147"/>
    </row>
    <row r="65742" spans="1:9" s="149" customFormat="1">
      <c r="A65742" s="218"/>
      <c r="B65742" s="144"/>
      <c r="C65742" s="180"/>
      <c r="D65742" s="144"/>
      <c r="E65742" s="145"/>
      <c r="F65742" s="146"/>
      <c r="G65742" s="142"/>
      <c r="H65742" s="221"/>
      <c r="I65742" s="147"/>
    </row>
    <row r="65743" spans="1:9" s="149" customFormat="1">
      <c r="A65743" s="218"/>
      <c r="B65743" s="144"/>
      <c r="C65743" s="180"/>
      <c r="D65743" s="144"/>
      <c r="E65743" s="145"/>
      <c r="F65743" s="146"/>
      <c r="G65743" s="142"/>
      <c r="H65743" s="221"/>
      <c r="I65743" s="147"/>
    </row>
    <row r="65744" spans="1:9" s="149" customFormat="1">
      <c r="A65744" s="218"/>
      <c r="B65744" s="144"/>
      <c r="C65744" s="180"/>
      <c r="D65744" s="144"/>
      <c r="E65744" s="145"/>
      <c r="F65744" s="146"/>
      <c r="G65744" s="142"/>
      <c r="H65744" s="221"/>
      <c r="I65744" s="147"/>
    </row>
    <row r="65745" spans="1:9" s="149" customFormat="1">
      <c r="A65745" s="218"/>
      <c r="B65745" s="144"/>
      <c r="C65745" s="180"/>
      <c r="D65745" s="144"/>
      <c r="E65745" s="145"/>
      <c r="F65745" s="146"/>
      <c r="G65745" s="142"/>
      <c r="H65745" s="221"/>
      <c r="I65745" s="147"/>
    </row>
    <row r="65746" spans="1:9" s="149" customFormat="1">
      <c r="A65746" s="218"/>
      <c r="B65746" s="144"/>
      <c r="C65746" s="180"/>
      <c r="D65746" s="144"/>
      <c r="E65746" s="145"/>
      <c r="F65746" s="146"/>
      <c r="G65746" s="142"/>
      <c r="H65746" s="221"/>
      <c r="I65746" s="147"/>
    </row>
    <row r="65747" spans="1:9" s="149" customFormat="1">
      <c r="A65747" s="218"/>
      <c r="B65747" s="144"/>
      <c r="C65747" s="180"/>
      <c r="D65747" s="144"/>
      <c r="E65747" s="145"/>
      <c r="F65747" s="146"/>
      <c r="G65747" s="142"/>
      <c r="H65747" s="221"/>
      <c r="I65747" s="147"/>
    </row>
    <row r="65748" spans="1:9" s="149" customFormat="1">
      <c r="A65748" s="218"/>
      <c r="B65748" s="144"/>
      <c r="C65748" s="180"/>
      <c r="D65748" s="144"/>
      <c r="E65748" s="145"/>
      <c r="F65748" s="146"/>
      <c r="G65748" s="142"/>
      <c r="H65748" s="221"/>
      <c r="I65748" s="147"/>
    </row>
    <row r="65749" spans="1:9" s="149" customFormat="1">
      <c r="A65749" s="218"/>
      <c r="B65749" s="144"/>
      <c r="C65749" s="180"/>
      <c r="D65749" s="144"/>
      <c r="E65749" s="145"/>
      <c r="F65749" s="146"/>
      <c r="G65749" s="142"/>
      <c r="H65749" s="221"/>
      <c r="I65749" s="147"/>
    </row>
    <row r="65750" spans="1:9" s="149" customFormat="1">
      <c r="A65750" s="218"/>
      <c r="B65750" s="144"/>
      <c r="C65750" s="180"/>
      <c r="D65750" s="144"/>
      <c r="E65750" s="145"/>
      <c r="F65750" s="146"/>
      <c r="G65750" s="142"/>
      <c r="H65750" s="221"/>
      <c r="I65750" s="147"/>
    </row>
    <row r="65751" spans="1:9" s="149" customFormat="1">
      <c r="A65751" s="218"/>
      <c r="B65751" s="144"/>
      <c r="C65751" s="180"/>
      <c r="D65751" s="144"/>
      <c r="E65751" s="145"/>
      <c r="F65751" s="146"/>
      <c r="G65751" s="142"/>
      <c r="H65751" s="221"/>
      <c r="I65751" s="147"/>
    </row>
    <row r="65752" spans="1:9" s="149" customFormat="1">
      <c r="A65752" s="218"/>
      <c r="B65752" s="144"/>
      <c r="C65752" s="180"/>
      <c r="D65752" s="144"/>
      <c r="E65752" s="145"/>
      <c r="F65752" s="146"/>
      <c r="G65752" s="142"/>
      <c r="H65752" s="221"/>
      <c r="I65752" s="147"/>
    </row>
    <row r="65753" spans="1:9" s="149" customFormat="1">
      <c r="A65753" s="218"/>
      <c r="B65753" s="144"/>
      <c r="C65753" s="180"/>
      <c r="D65753" s="144"/>
      <c r="E65753" s="145"/>
      <c r="F65753" s="146"/>
      <c r="G65753" s="142"/>
      <c r="H65753" s="221"/>
      <c r="I65753" s="147"/>
    </row>
    <row r="65754" spans="1:9" s="149" customFormat="1">
      <c r="A65754" s="218"/>
      <c r="B65754" s="144"/>
      <c r="C65754" s="180"/>
      <c r="D65754" s="144"/>
      <c r="E65754" s="145"/>
      <c r="F65754" s="146"/>
      <c r="G65754" s="142"/>
      <c r="H65754" s="221"/>
      <c r="I65754" s="147"/>
    </row>
    <row r="65755" spans="1:9" s="149" customFormat="1">
      <c r="A65755" s="218"/>
      <c r="B65755" s="144"/>
      <c r="C65755" s="180"/>
      <c r="D65755" s="144"/>
      <c r="E65755" s="145"/>
      <c r="F65755" s="146"/>
      <c r="G65755" s="142"/>
      <c r="H65755" s="221"/>
      <c r="I65755" s="147"/>
    </row>
    <row r="65756" spans="1:9" s="149" customFormat="1">
      <c r="A65756" s="218"/>
      <c r="B65756" s="144"/>
      <c r="C65756" s="180"/>
      <c r="D65756" s="144"/>
      <c r="E65756" s="145"/>
      <c r="F65756" s="146"/>
      <c r="G65756" s="142"/>
      <c r="H65756" s="221"/>
      <c r="I65756" s="147"/>
    </row>
    <row r="65757" spans="1:9" s="149" customFormat="1">
      <c r="A65757" s="218"/>
      <c r="B65757" s="144"/>
      <c r="C65757" s="180"/>
      <c r="D65757" s="144"/>
      <c r="E65757" s="145"/>
      <c r="F65757" s="146"/>
      <c r="G65757" s="142"/>
      <c r="H65757" s="221"/>
      <c r="I65757" s="147"/>
    </row>
    <row r="65758" spans="1:9" s="149" customFormat="1">
      <c r="A65758" s="218"/>
      <c r="B65758" s="144"/>
      <c r="C65758" s="180"/>
      <c r="D65758" s="144"/>
      <c r="E65758" s="145"/>
      <c r="F65758" s="146"/>
      <c r="G65758" s="142"/>
      <c r="H65758" s="221"/>
      <c r="I65758" s="147"/>
    </row>
    <row r="65759" spans="1:9" s="149" customFormat="1">
      <c r="A65759" s="218"/>
      <c r="B65759" s="144"/>
      <c r="C65759" s="180"/>
      <c r="D65759" s="144"/>
      <c r="E65759" s="145"/>
      <c r="F65759" s="146"/>
      <c r="G65759" s="142"/>
      <c r="H65759" s="221"/>
      <c r="I65759" s="147"/>
    </row>
    <row r="65760" spans="1:9" s="149" customFormat="1">
      <c r="A65760" s="218"/>
      <c r="B65760" s="144"/>
      <c r="C65760" s="180"/>
      <c r="D65760" s="144"/>
      <c r="E65760" s="145"/>
      <c r="F65760" s="146"/>
      <c r="G65760" s="142"/>
      <c r="H65760" s="221"/>
      <c r="I65760" s="147"/>
    </row>
    <row r="65761" spans="1:9" s="149" customFormat="1">
      <c r="A65761" s="218"/>
      <c r="B65761" s="144"/>
      <c r="C65761" s="180"/>
      <c r="D65761" s="144"/>
      <c r="E65761" s="145"/>
      <c r="F65761" s="146"/>
      <c r="G65761" s="142"/>
      <c r="H65761" s="221"/>
      <c r="I65761" s="147"/>
    </row>
  </sheetData>
  <mergeCells count="178">
    <mergeCell ref="A442:H442"/>
    <mergeCell ref="B428:I428"/>
    <mergeCell ref="B434:I434"/>
    <mergeCell ref="B437:I437"/>
    <mergeCell ref="B415:I415"/>
    <mergeCell ref="B420:I420"/>
    <mergeCell ref="B422:I422"/>
    <mergeCell ref="A426:H426"/>
    <mergeCell ref="A427:I427"/>
    <mergeCell ref="B404:I404"/>
    <mergeCell ref="B409:I409"/>
    <mergeCell ref="A412:H412"/>
    <mergeCell ref="A413:H413"/>
    <mergeCell ref="A414:I414"/>
    <mergeCell ref="B381:I381"/>
    <mergeCell ref="B382:I382"/>
    <mergeCell ref="B392:I392"/>
    <mergeCell ref="B397:I397"/>
    <mergeCell ref="B402:I402"/>
    <mergeCell ref="B370:I370"/>
    <mergeCell ref="B371:I371"/>
    <mergeCell ref="B375:I375"/>
    <mergeCell ref="B377:I377"/>
    <mergeCell ref="A380:H380"/>
    <mergeCell ref="B358:I358"/>
    <mergeCell ref="A360:H360"/>
    <mergeCell ref="B361:I361"/>
    <mergeCell ref="B362:I362"/>
    <mergeCell ref="A369:H369"/>
    <mergeCell ref="B351:I351"/>
    <mergeCell ref="B352:I352"/>
    <mergeCell ref="B354:I354"/>
    <mergeCell ref="A356:H356"/>
    <mergeCell ref="B357:I357"/>
    <mergeCell ref="A281:H281"/>
    <mergeCell ref="A339:I339"/>
    <mergeCell ref="B344:I344"/>
    <mergeCell ref="B346:I346"/>
    <mergeCell ref="A350:H350"/>
    <mergeCell ref="A338:H338"/>
    <mergeCell ref="B298:I298"/>
    <mergeCell ref="B299:I299"/>
    <mergeCell ref="B303:I303"/>
    <mergeCell ref="B305:I305"/>
    <mergeCell ref="A337:H337"/>
    <mergeCell ref="A224:H224"/>
    <mergeCell ref="B225:I225"/>
    <mergeCell ref="B226:I226"/>
    <mergeCell ref="A228:H228"/>
    <mergeCell ref="B229:I229"/>
    <mergeCell ref="B230:I230"/>
    <mergeCell ref="B328:I328"/>
    <mergeCell ref="B330:I330"/>
    <mergeCell ref="B334:I334"/>
    <mergeCell ref="A308:H308"/>
    <mergeCell ref="B309:I309"/>
    <mergeCell ref="B310:I310"/>
    <mergeCell ref="B320:I320"/>
    <mergeCell ref="B324:I324"/>
    <mergeCell ref="B294:I294"/>
    <mergeCell ref="B295:I295"/>
    <mergeCell ref="A297:H297"/>
    <mergeCell ref="A287:H287"/>
    <mergeCell ref="B288:I288"/>
    <mergeCell ref="B289:I289"/>
    <mergeCell ref="B291:I291"/>
    <mergeCell ref="A293:H293"/>
    <mergeCell ref="B214:I214"/>
    <mergeCell ref="A218:H218"/>
    <mergeCell ref="B219:I219"/>
    <mergeCell ref="A205:H205"/>
    <mergeCell ref="A206:H206"/>
    <mergeCell ref="A282:I282"/>
    <mergeCell ref="B220:I220"/>
    <mergeCell ref="B222:I222"/>
    <mergeCell ref="A248:H248"/>
    <mergeCell ref="B249:I249"/>
    <mergeCell ref="B250:I250"/>
    <mergeCell ref="B260:I260"/>
    <mergeCell ref="B265:I265"/>
    <mergeCell ref="B270:I270"/>
    <mergeCell ref="B272:I272"/>
    <mergeCell ref="B277:I277"/>
    <mergeCell ref="A280:H280"/>
    <mergeCell ref="A237:H237"/>
    <mergeCell ref="B238:I238"/>
    <mergeCell ref="B239:I239"/>
    <mergeCell ref="B243:I243"/>
    <mergeCell ref="B245:I245"/>
    <mergeCell ref="B212:I212"/>
    <mergeCell ref="A207:I207"/>
    <mergeCell ref="B185:I185"/>
    <mergeCell ref="B190:I190"/>
    <mergeCell ref="B195:I195"/>
    <mergeCell ref="B197:I197"/>
    <mergeCell ref="B202:I202"/>
    <mergeCell ref="B168:I168"/>
    <mergeCell ref="B170:I170"/>
    <mergeCell ref="A173:H173"/>
    <mergeCell ref="B174:I174"/>
    <mergeCell ref="B175:I175"/>
    <mergeCell ref="B154:I154"/>
    <mergeCell ref="B155:I155"/>
    <mergeCell ref="A162:H162"/>
    <mergeCell ref="B163:I163"/>
    <mergeCell ref="B164:I164"/>
    <mergeCell ref="B147:I147"/>
    <mergeCell ref="A149:H149"/>
    <mergeCell ref="B150:I150"/>
    <mergeCell ref="B151:I151"/>
    <mergeCell ref="A153:H153"/>
    <mergeCell ref="B137:I137"/>
    <mergeCell ref="B139:I139"/>
    <mergeCell ref="A143:H143"/>
    <mergeCell ref="B144:I144"/>
    <mergeCell ref="B145:I145"/>
    <mergeCell ref="A131:H131"/>
    <mergeCell ref="B122:I122"/>
    <mergeCell ref="B120:I120"/>
    <mergeCell ref="B127:I127"/>
    <mergeCell ref="A132:I132"/>
    <mergeCell ref="B93:I93"/>
    <mergeCell ref="B89:I89"/>
    <mergeCell ref="B95:I95"/>
    <mergeCell ref="A98:H98"/>
    <mergeCell ref="B75:I75"/>
    <mergeCell ref="B76:I76"/>
    <mergeCell ref="A78:H78"/>
    <mergeCell ref="B79:I79"/>
    <mergeCell ref="B80:I80"/>
    <mergeCell ref="A443:H443"/>
    <mergeCell ref="B1:I1"/>
    <mergeCell ref="C2:I2"/>
    <mergeCell ref="C3:I3"/>
    <mergeCell ref="C4:I5"/>
    <mergeCell ref="C6:I6"/>
    <mergeCell ref="C7:I7"/>
    <mergeCell ref="B99:I99"/>
    <mergeCell ref="B100:I100"/>
    <mergeCell ref="B33:I33"/>
    <mergeCell ref="B32:I32"/>
    <mergeCell ref="B29:I29"/>
    <mergeCell ref="B28:I28"/>
    <mergeCell ref="B15:I15"/>
    <mergeCell ref="B17:I17"/>
    <mergeCell ref="B22:I22"/>
    <mergeCell ref="G8:H8"/>
    <mergeCell ref="G9:H9"/>
    <mergeCell ref="B23:I23"/>
    <mergeCell ref="A10:I10"/>
    <mergeCell ref="B52:I52"/>
    <mergeCell ref="A21:H21"/>
    <mergeCell ref="A130:H130"/>
    <mergeCell ref="A40:H40"/>
    <mergeCell ref="B41:I41"/>
    <mergeCell ref="B42:I42"/>
    <mergeCell ref="B48:I48"/>
    <mergeCell ref="A55:H55"/>
    <mergeCell ref="A54:H54"/>
    <mergeCell ref="A441:H441"/>
    <mergeCell ref="A425:H425"/>
    <mergeCell ref="B25:I25"/>
    <mergeCell ref="A31:H31"/>
    <mergeCell ref="A27:H27"/>
    <mergeCell ref="A51:H51"/>
    <mergeCell ref="A56:I56"/>
    <mergeCell ref="A57:I57"/>
    <mergeCell ref="B62:I62"/>
    <mergeCell ref="B64:I64"/>
    <mergeCell ref="A68:H68"/>
    <mergeCell ref="B69:I69"/>
    <mergeCell ref="B70:I70"/>
    <mergeCell ref="B72:I72"/>
    <mergeCell ref="A74:H74"/>
    <mergeCell ref="A87:H87"/>
    <mergeCell ref="B110:I110"/>
    <mergeCell ref="B115:I115"/>
    <mergeCell ref="B88:I88"/>
  </mergeCells>
  <pageMargins left="0.78740157480314965" right="0.19685039370078741" top="0.39370078740157483" bottom="0.59055118110236227" header="0.31496062992125984" footer="0.39370078740157483"/>
  <pageSetup paperSize="9" orientation="portrait" r:id="rId1"/>
  <headerFooter>
    <oddFooter>&amp;C&amp;9Página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H63"/>
  <sheetViews>
    <sheetView showGridLines="0" workbookViewId="0">
      <selection activeCell="F13" sqref="F13"/>
    </sheetView>
  </sheetViews>
  <sheetFormatPr defaultRowHeight="12.75"/>
  <cols>
    <col min="1" max="1" width="11.85546875" customWidth="1"/>
    <col min="2" max="2" width="39.5703125" customWidth="1"/>
    <col min="3" max="3" width="6.140625" bestFit="1" customWidth="1"/>
    <col min="4" max="4" width="10" bestFit="1" customWidth="1"/>
    <col min="5" max="5" width="10.42578125" bestFit="1" customWidth="1"/>
    <col min="6" max="6" width="8.7109375" bestFit="1" customWidth="1"/>
    <col min="7" max="7" width="9.140625" customWidth="1"/>
  </cols>
  <sheetData>
    <row r="1" spans="1:8" ht="15.75">
      <c r="A1" s="331"/>
      <c r="B1" s="468" t="str">
        <f>VRPS!B1</f>
        <v>____/___/2026</v>
      </c>
      <c r="C1" s="468"/>
      <c r="D1" s="468"/>
      <c r="E1" s="468"/>
      <c r="F1" s="469"/>
      <c r="G1" s="299"/>
      <c r="H1" s="299"/>
    </row>
    <row r="2" spans="1:8" ht="15.75">
      <c r="A2" s="332"/>
      <c r="B2" s="470" t="s">
        <v>156</v>
      </c>
      <c r="C2" s="470"/>
      <c r="D2" s="470"/>
      <c r="E2" s="470"/>
      <c r="F2" s="471"/>
      <c r="G2" s="299"/>
      <c r="H2" s="299"/>
    </row>
    <row r="3" spans="1:8" ht="15.75">
      <c r="A3" s="332"/>
      <c r="B3" s="470" t="s">
        <v>157</v>
      </c>
      <c r="C3" s="470"/>
      <c r="D3" s="470"/>
      <c r="E3" s="470"/>
      <c r="F3" s="471"/>
      <c r="G3" s="299"/>
      <c r="H3" s="299"/>
    </row>
    <row r="4" spans="1:8" ht="48.75" customHeight="1">
      <c r="A4" s="332"/>
      <c r="B4" s="472" t="str">
        <f>VRPS!C4</f>
        <v>FORNECIMENTO E INSTALAÇÃO DE MACRO MEDIDORES DE VAZÃO E VÁLVULAS REDUTORAS DE PRESSÃO E DELIMITAÇÃO DE ÁREAS DE INFLUÊNCIA</v>
      </c>
      <c r="C4" s="472"/>
      <c r="D4" s="472"/>
      <c r="E4" s="472"/>
      <c r="F4" s="473"/>
      <c r="G4" s="299"/>
      <c r="H4" s="299"/>
    </row>
    <row r="5" spans="1:8" ht="15.75">
      <c r="A5" s="332"/>
      <c r="B5" s="472" t="s">
        <v>451</v>
      </c>
      <c r="C5" s="472"/>
      <c r="D5" s="472"/>
      <c r="E5" s="472"/>
      <c r="F5" s="473"/>
      <c r="G5" s="299"/>
      <c r="H5" s="299"/>
    </row>
    <row r="6" spans="1:8" ht="15.75">
      <c r="A6" s="333"/>
      <c r="B6" s="463" t="str">
        <f>Resumo!B7</f>
        <v>DATA BASE - REGIÃO: SABESP Jan/26; SINAPI/SP Jan/26; CDHU Jan/26; SBC Fev/26 ; PNPC</v>
      </c>
      <c r="C6" s="463"/>
      <c r="D6" s="463"/>
      <c r="E6" s="463"/>
      <c r="F6" s="464"/>
      <c r="G6" s="299"/>
      <c r="H6" s="299"/>
    </row>
    <row r="7" spans="1:8">
      <c r="B7" s="300"/>
      <c r="C7" s="300"/>
      <c r="D7" s="300"/>
      <c r="E7" s="300"/>
      <c r="F7" s="300"/>
    </row>
    <row r="8" spans="1:8" s="300" customFormat="1" ht="11.25">
      <c r="A8" s="301"/>
      <c r="B8" s="301"/>
      <c r="C8" s="301"/>
      <c r="D8" s="301"/>
      <c r="E8" s="301"/>
      <c r="F8" s="302"/>
    </row>
    <row r="9" spans="1:8" s="300" customFormat="1" ht="24" customHeight="1">
      <c r="A9" s="465" t="s">
        <v>475</v>
      </c>
      <c r="B9" s="465"/>
      <c r="C9" s="465"/>
      <c r="D9" s="465"/>
      <c r="E9" s="465"/>
      <c r="F9" s="465"/>
    </row>
    <row r="10" spans="1:8" s="300" customFormat="1" ht="11.25">
      <c r="A10" s="466" t="s">
        <v>485</v>
      </c>
      <c r="B10" s="466"/>
      <c r="C10" s="466"/>
      <c r="D10" s="466"/>
      <c r="E10" s="466"/>
      <c r="F10" s="466"/>
    </row>
    <row r="11" spans="1:8" s="300" customFormat="1" ht="22.5">
      <c r="A11" s="306" t="s">
        <v>452</v>
      </c>
      <c r="B11" s="307" t="s">
        <v>453</v>
      </c>
      <c r="C11" s="308" t="s">
        <v>454</v>
      </c>
      <c r="D11" s="306" t="s">
        <v>455</v>
      </c>
      <c r="E11" s="309" t="s">
        <v>456</v>
      </c>
      <c r="F11" s="310" t="s">
        <v>457</v>
      </c>
    </row>
    <row r="12" spans="1:8" s="300" customFormat="1" ht="45">
      <c r="A12" s="139" t="s">
        <v>458</v>
      </c>
      <c r="B12" s="311" t="s">
        <v>459</v>
      </c>
      <c r="C12" s="244" t="s">
        <v>461</v>
      </c>
      <c r="D12" s="312">
        <f>1.9*1.9*0.1</f>
        <v>0.36099999999999999</v>
      </c>
      <c r="E12" s="319"/>
      <c r="F12" s="314">
        <f t="shared" ref="F12:F15" si="0">ROUND((D12*E12),2)</f>
        <v>0</v>
      </c>
    </row>
    <row r="13" spans="1:8" s="300" customFormat="1" ht="33.75">
      <c r="A13" s="252" t="s">
        <v>474</v>
      </c>
      <c r="B13" s="311" t="s">
        <v>473</v>
      </c>
      <c r="C13" s="244" t="s">
        <v>460</v>
      </c>
      <c r="D13" s="312">
        <f>1.75*1.75</f>
        <v>3.0625</v>
      </c>
      <c r="E13" s="313"/>
      <c r="F13" s="314">
        <f t="shared" si="0"/>
        <v>0</v>
      </c>
    </row>
    <row r="14" spans="1:8" s="300" customFormat="1" ht="45">
      <c r="A14" s="139" t="s">
        <v>462</v>
      </c>
      <c r="B14" s="311" t="s">
        <v>463</v>
      </c>
      <c r="C14" s="244" t="s">
        <v>460</v>
      </c>
      <c r="D14" s="312">
        <f>(1.6+1.6+1.9+1.9)*2.5</f>
        <v>17.5</v>
      </c>
      <c r="E14" s="319"/>
      <c r="F14" s="314">
        <f t="shared" si="0"/>
        <v>0</v>
      </c>
    </row>
    <row r="15" spans="1:8" s="300" customFormat="1" ht="45">
      <c r="A15" s="139" t="s">
        <v>464</v>
      </c>
      <c r="B15" s="311" t="s">
        <v>465</v>
      </c>
      <c r="C15" s="244" t="s">
        <v>461</v>
      </c>
      <c r="D15" s="312">
        <f>(0.15*0.15*2.5*8)+(1.6*0.15*0.2*8)</f>
        <v>0.83399999999999996</v>
      </c>
      <c r="E15" s="319"/>
      <c r="F15" s="314">
        <f t="shared" si="0"/>
        <v>0</v>
      </c>
    </row>
    <row r="16" spans="1:8" s="330" customFormat="1" ht="22.5">
      <c r="A16" s="224" t="s">
        <v>541</v>
      </c>
      <c r="B16" s="298" t="s">
        <v>542</v>
      </c>
      <c r="C16" s="327" t="s">
        <v>6</v>
      </c>
      <c r="D16" s="328">
        <v>2</v>
      </c>
      <c r="E16" s="319"/>
      <c r="F16" s="329">
        <f t="shared" ref="F16" si="1">ROUND((D16*E16),2)</f>
        <v>0</v>
      </c>
    </row>
    <row r="17" spans="1:6" s="300" customFormat="1" ht="11.25" customHeight="1">
      <c r="A17" s="467" t="s">
        <v>457</v>
      </c>
      <c r="B17" s="467"/>
      <c r="C17" s="467"/>
      <c r="D17" s="467"/>
      <c r="E17" s="467"/>
      <c r="F17" s="317">
        <f>SUM(F12:F16)</f>
        <v>0</v>
      </c>
    </row>
    <row r="18" spans="1:6" s="300" customFormat="1" ht="11.25">
      <c r="A18" s="303"/>
      <c r="B18" s="303"/>
      <c r="C18" s="303"/>
      <c r="D18" s="303"/>
      <c r="E18" s="303"/>
      <c r="F18" s="304"/>
    </row>
    <row r="19" spans="1:6" s="300" customFormat="1" ht="24" customHeight="1">
      <c r="A19" s="465" t="s">
        <v>476</v>
      </c>
      <c r="B19" s="465"/>
      <c r="C19" s="465"/>
      <c r="D19" s="465"/>
      <c r="E19" s="465"/>
      <c r="F19" s="465"/>
    </row>
    <row r="20" spans="1:6" s="300" customFormat="1" ht="11.25">
      <c r="A20" s="466" t="s">
        <v>486</v>
      </c>
      <c r="B20" s="466"/>
      <c r="C20" s="466"/>
      <c r="D20" s="466"/>
      <c r="E20" s="466"/>
      <c r="F20" s="466"/>
    </row>
    <row r="21" spans="1:6" s="300" customFormat="1" ht="22.5">
      <c r="A21" s="306" t="s">
        <v>452</v>
      </c>
      <c r="B21" s="307" t="s">
        <v>453</v>
      </c>
      <c r="C21" s="308" t="s">
        <v>454</v>
      </c>
      <c r="D21" s="306" t="s">
        <v>455</v>
      </c>
      <c r="E21" s="309" t="s">
        <v>456</v>
      </c>
      <c r="F21" s="310" t="s">
        <v>457</v>
      </c>
    </row>
    <row r="22" spans="1:6" s="300" customFormat="1" ht="45">
      <c r="A22" s="139" t="s">
        <v>458</v>
      </c>
      <c r="B22" s="311" t="s">
        <v>459</v>
      </c>
      <c r="C22" s="244" t="s">
        <v>461</v>
      </c>
      <c r="D22" s="312">
        <f>1.9*1.9*0.1</f>
        <v>0.36099999999999999</v>
      </c>
      <c r="E22" s="319"/>
      <c r="F22" s="314">
        <f t="shared" ref="F22:F28" si="2">ROUND((D22*E22),2)</f>
        <v>0</v>
      </c>
    </row>
    <row r="23" spans="1:6" s="300" customFormat="1" ht="45">
      <c r="A23" s="139" t="s">
        <v>462</v>
      </c>
      <c r="B23" s="311" t="s">
        <v>463</v>
      </c>
      <c r="C23" s="244" t="s">
        <v>460</v>
      </c>
      <c r="D23" s="312">
        <f>(1.6+1.6+1.9+1.9)*2.5</f>
        <v>17.5</v>
      </c>
      <c r="E23" s="319"/>
      <c r="F23" s="314">
        <f t="shared" si="2"/>
        <v>0</v>
      </c>
    </row>
    <row r="24" spans="1:6" s="300" customFormat="1" ht="45">
      <c r="A24" s="139" t="s">
        <v>464</v>
      </c>
      <c r="B24" s="311" t="s">
        <v>465</v>
      </c>
      <c r="C24" s="244" t="s">
        <v>461</v>
      </c>
      <c r="D24" s="312">
        <f>(0.15*0.15*2.5*8)+(1.6*0.15*0.2*8)</f>
        <v>0.83399999999999996</v>
      </c>
      <c r="E24" s="319"/>
      <c r="F24" s="314">
        <f t="shared" si="2"/>
        <v>0</v>
      </c>
    </row>
    <row r="25" spans="1:6" s="300" customFormat="1" ht="22.5">
      <c r="A25" s="252" t="s">
        <v>477</v>
      </c>
      <c r="B25" s="311" t="s">
        <v>478</v>
      </c>
      <c r="C25" s="244" t="s">
        <v>461</v>
      </c>
      <c r="D25" s="312">
        <f>(1.9*1.9*0.25)-(3.1416*0.3*0.3*0.25)</f>
        <v>0.83181399999999994</v>
      </c>
      <c r="E25" s="313"/>
      <c r="F25" s="314">
        <f t="shared" si="2"/>
        <v>0</v>
      </c>
    </row>
    <row r="26" spans="1:6" s="300" customFormat="1" ht="22.5">
      <c r="A26" s="252" t="s">
        <v>479</v>
      </c>
      <c r="B26" s="311" t="s">
        <v>480</v>
      </c>
      <c r="C26" s="318" t="s">
        <v>481</v>
      </c>
      <c r="D26" s="312">
        <v>1</v>
      </c>
      <c r="E26" s="313"/>
      <c r="F26" s="314">
        <f t="shared" si="2"/>
        <v>0</v>
      </c>
    </row>
    <row r="27" spans="1:6" s="300" customFormat="1" ht="45">
      <c r="A27" s="139" t="s">
        <v>482</v>
      </c>
      <c r="B27" s="311" t="s">
        <v>483</v>
      </c>
      <c r="C27" s="318" t="s">
        <v>481</v>
      </c>
      <c r="D27" s="312">
        <v>1</v>
      </c>
      <c r="E27" s="313"/>
      <c r="F27" s="314">
        <f t="shared" si="2"/>
        <v>0</v>
      </c>
    </row>
    <row r="28" spans="1:6" s="330" customFormat="1" ht="22.5">
      <c r="A28" s="224" t="s">
        <v>541</v>
      </c>
      <c r="B28" s="298" t="s">
        <v>542</v>
      </c>
      <c r="C28" s="327" t="s">
        <v>6</v>
      </c>
      <c r="D28" s="328">
        <v>2</v>
      </c>
      <c r="E28" s="319"/>
      <c r="F28" s="329">
        <f t="shared" si="2"/>
        <v>0</v>
      </c>
    </row>
    <row r="29" spans="1:6" s="300" customFormat="1" ht="11.25">
      <c r="A29" s="467" t="s">
        <v>457</v>
      </c>
      <c r="B29" s="467"/>
      <c r="C29" s="467"/>
      <c r="D29" s="467"/>
      <c r="E29" s="467"/>
      <c r="F29" s="317">
        <f>SUM(F22:F28)</f>
        <v>0</v>
      </c>
    </row>
    <row r="30" spans="1:6" s="300" customFormat="1" ht="11.25">
      <c r="A30" s="303"/>
      <c r="B30" s="303"/>
      <c r="C30" s="303"/>
      <c r="D30" s="303"/>
      <c r="E30" s="303"/>
      <c r="F30" s="304"/>
    </row>
    <row r="31" spans="1:6" s="300" customFormat="1" ht="22.5" customHeight="1">
      <c r="A31" s="465" t="s">
        <v>484</v>
      </c>
      <c r="B31" s="465"/>
      <c r="C31" s="465"/>
      <c r="D31" s="465"/>
      <c r="E31" s="465"/>
      <c r="F31" s="465"/>
    </row>
    <row r="32" spans="1:6" s="300" customFormat="1" ht="11.25">
      <c r="A32" s="466" t="s">
        <v>487</v>
      </c>
      <c r="B32" s="466"/>
      <c r="C32" s="466"/>
      <c r="D32" s="466"/>
      <c r="E32" s="466"/>
      <c r="F32" s="466"/>
    </row>
    <row r="33" spans="1:6" s="300" customFormat="1" ht="22.5">
      <c r="A33" s="306" t="s">
        <v>452</v>
      </c>
      <c r="B33" s="307" t="s">
        <v>453</v>
      </c>
      <c r="C33" s="308" t="s">
        <v>454</v>
      </c>
      <c r="D33" s="306" t="s">
        <v>455</v>
      </c>
      <c r="E33" s="309" t="s">
        <v>456</v>
      </c>
      <c r="F33" s="310" t="s">
        <v>457</v>
      </c>
    </row>
    <row r="34" spans="1:6" s="300" customFormat="1" ht="45">
      <c r="A34" s="139" t="s">
        <v>458</v>
      </c>
      <c r="B34" s="311" t="s">
        <v>459</v>
      </c>
      <c r="C34" s="244" t="s">
        <v>461</v>
      </c>
      <c r="D34" s="312">
        <f>4*3*0.1</f>
        <v>1.2000000000000002</v>
      </c>
      <c r="E34" s="313"/>
      <c r="F34" s="314">
        <f t="shared" ref="F34:F38" si="3">ROUND((D34*E34),2)</f>
        <v>0</v>
      </c>
    </row>
    <row r="35" spans="1:6" s="300" customFormat="1" ht="33.75">
      <c r="A35" s="252" t="s">
        <v>474</v>
      </c>
      <c r="B35" s="311" t="s">
        <v>473</v>
      </c>
      <c r="C35" s="244" t="s">
        <v>460</v>
      </c>
      <c r="D35" s="312">
        <f>4.15*3.15</f>
        <v>13.072500000000002</v>
      </c>
      <c r="E35" s="313"/>
      <c r="F35" s="314">
        <f t="shared" si="3"/>
        <v>0</v>
      </c>
    </row>
    <row r="36" spans="1:6" s="300" customFormat="1" ht="45">
      <c r="A36" s="139" t="s">
        <v>462</v>
      </c>
      <c r="B36" s="311" t="s">
        <v>463</v>
      </c>
      <c r="C36" s="244" t="s">
        <v>460</v>
      </c>
      <c r="D36" s="312">
        <f>(4.3+4.3+3+3)*2.5</f>
        <v>36.5</v>
      </c>
      <c r="E36" s="313"/>
      <c r="F36" s="314">
        <f t="shared" si="3"/>
        <v>0</v>
      </c>
    </row>
    <row r="37" spans="1:6" s="300" customFormat="1" ht="45">
      <c r="A37" s="139" t="s">
        <v>464</v>
      </c>
      <c r="B37" s="311" t="s">
        <v>465</v>
      </c>
      <c r="C37" s="244" t="s">
        <v>461</v>
      </c>
      <c r="D37" s="312">
        <f>(0.15*0.15*2.5*10)+(3*0.15*0.2*4)+(4*0.15*0.2*4)</f>
        <v>1.4024999999999999</v>
      </c>
      <c r="E37" s="313"/>
      <c r="F37" s="314">
        <f t="shared" si="3"/>
        <v>0</v>
      </c>
    </row>
    <row r="38" spans="1:6" s="330" customFormat="1" ht="22.5">
      <c r="A38" s="224" t="s">
        <v>541</v>
      </c>
      <c r="B38" s="298" t="s">
        <v>542</v>
      </c>
      <c r="C38" s="327" t="s">
        <v>6</v>
      </c>
      <c r="D38" s="328">
        <v>2</v>
      </c>
      <c r="E38" s="319"/>
      <c r="F38" s="329">
        <f t="shared" si="3"/>
        <v>0</v>
      </c>
    </row>
    <row r="39" spans="1:6" s="300" customFormat="1" ht="11.25">
      <c r="A39" s="467" t="s">
        <v>457</v>
      </c>
      <c r="B39" s="467"/>
      <c r="C39" s="467"/>
      <c r="D39" s="467"/>
      <c r="E39" s="467"/>
      <c r="F39" s="317">
        <f>SUM(F34:F37)</f>
        <v>0</v>
      </c>
    </row>
    <row r="40" spans="1:6" s="300" customFormat="1" ht="11.25">
      <c r="A40" s="303"/>
      <c r="B40" s="303"/>
      <c r="C40" s="303"/>
      <c r="D40" s="303"/>
      <c r="E40" s="303"/>
      <c r="F40" s="304"/>
    </row>
    <row r="41" spans="1:6" s="300" customFormat="1" ht="22.5" customHeight="1">
      <c r="A41" s="465" t="s">
        <v>535</v>
      </c>
      <c r="B41" s="465"/>
      <c r="C41" s="465"/>
      <c r="D41" s="465"/>
      <c r="E41" s="465"/>
      <c r="F41" s="465"/>
    </row>
    <row r="42" spans="1:6" s="300" customFormat="1" ht="11.25">
      <c r="A42" s="466" t="s">
        <v>488</v>
      </c>
      <c r="B42" s="466"/>
      <c r="C42" s="466"/>
      <c r="D42" s="466"/>
      <c r="E42" s="466"/>
      <c r="F42" s="466"/>
    </row>
    <row r="43" spans="1:6" s="300" customFormat="1" ht="22.5">
      <c r="A43" s="306" t="s">
        <v>452</v>
      </c>
      <c r="B43" s="307" t="s">
        <v>453</v>
      </c>
      <c r="C43" s="308" t="s">
        <v>454</v>
      </c>
      <c r="D43" s="306" t="s">
        <v>455</v>
      </c>
      <c r="E43" s="309" t="s">
        <v>456</v>
      </c>
      <c r="F43" s="310" t="s">
        <v>457</v>
      </c>
    </row>
    <row r="44" spans="1:6" s="300" customFormat="1" ht="45">
      <c r="A44" s="139" t="s">
        <v>458</v>
      </c>
      <c r="B44" s="311" t="s">
        <v>459</v>
      </c>
      <c r="C44" s="244" t="s">
        <v>461</v>
      </c>
      <c r="D44" s="312">
        <f>1.15*2.3*0.1</f>
        <v>0.26449999999999996</v>
      </c>
      <c r="E44" s="313"/>
      <c r="F44" s="314">
        <f t="shared" ref="F44:F48" si="4">ROUND((D44*E44),2)</f>
        <v>0</v>
      </c>
    </row>
    <row r="45" spans="1:6" s="300" customFormat="1" ht="33.75">
      <c r="A45" s="252" t="s">
        <v>474</v>
      </c>
      <c r="B45" s="311" t="s">
        <v>473</v>
      </c>
      <c r="C45" s="244" t="s">
        <v>460</v>
      </c>
      <c r="D45" s="312">
        <f>3.3*2.15</f>
        <v>7.0949999999999998</v>
      </c>
      <c r="E45" s="313"/>
      <c r="F45" s="314">
        <f t="shared" si="4"/>
        <v>0</v>
      </c>
    </row>
    <row r="46" spans="1:6" s="300" customFormat="1" ht="45">
      <c r="A46" s="139" t="s">
        <v>462</v>
      </c>
      <c r="B46" s="311" t="s">
        <v>463</v>
      </c>
      <c r="C46" s="244" t="s">
        <v>460</v>
      </c>
      <c r="D46" s="312">
        <f>(1+1+2.3)*2.5</f>
        <v>10.75</v>
      </c>
      <c r="E46" s="313"/>
      <c r="F46" s="314">
        <f t="shared" si="4"/>
        <v>0</v>
      </c>
    </row>
    <row r="47" spans="1:6" s="300" customFormat="1" ht="45">
      <c r="A47" s="139" t="s">
        <v>464</v>
      </c>
      <c r="B47" s="311" t="s">
        <v>465</v>
      </c>
      <c r="C47" s="244" t="s">
        <v>461</v>
      </c>
      <c r="D47" s="312">
        <f>(0.15*0.15*2.5*6)+(2.3*0.15*0.2*2)</f>
        <v>0.47549999999999992</v>
      </c>
      <c r="E47" s="313"/>
      <c r="F47" s="314">
        <f t="shared" si="4"/>
        <v>0</v>
      </c>
    </row>
    <row r="48" spans="1:6" s="330" customFormat="1" ht="22.5">
      <c r="A48" s="224" t="s">
        <v>541</v>
      </c>
      <c r="B48" s="298" t="s">
        <v>542</v>
      </c>
      <c r="C48" s="327" t="s">
        <v>6</v>
      </c>
      <c r="D48" s="328">
        <v>2</v>
      </c>
      <c r="E48" s="319"/>
      <c r="F48" s="329">
        <f t="shared" si="4"/>
        <v>0</v>
      </c>
    </row>
    <row r="49" spans="1:6" s="300" customFormat="1" ht="11.25">
      <c r="A49" s="467" t="s">
        <v>457</v>
      </c>
      <c r="B49" s="467"/>
      <c r="C49" s="467"/>
      <c r="D49" s="467"/>
      <c r="E49" s="467"/>
      <c r="F49" s="317">
        <f>SUM(F44:F47)</f>
        <v>0</v>
      </c>
    </row>
    <row r="50" spans="1:6" s="300" customFormat="1" ht="11.25">
      <c r="A50" s="303"/>
      <c r="B50" s="303"/>
      <c r="C50" s="303"/>
      <c r="D50" s="303"/>
      <c r="E50" s="303"/>
      <c r="F50" s="304"/>
    </row>
    <row r="51" spans="1:6" s="300" customFormat="1" ht="22.5" customHeight="1">
      <c r="A51" s="465" t="s">
        <v>498</v>
      </c>
      <c r="B51" s="465"/>
      <c r="C51" s="465"/>
      <c r="D51" s="465"/>
      <c r="E51" s="465"/>
      <c r="F51" s="465"/>
    </row>
    <row r="52" spans="1:6" s="300" customFormat="1" ht="11.25">
      <c r="A52" s="466" t="s">
        <v>534</v>
      </c>
      <c r="B52" s="466"/>
      <c r="C52" s="466"/>
      <c r="D52" s="466"/>
      <c r="E52" s="466"/>
      <c r="F52" s="466"/>
    </row>
    <row r="53" spans="1:6" s="300" customFormat="1" ht="22.5">
      <c r="A53" s="306" t="s">
        <v>452</v>
      </c>
      <c r="B53" s="307" t="s">
        <v>453</v>
      </c>
      <c r="C53" s="308" t="s">
        <v>454</v>
      </c>
      <c r="D53" s="306" t="s">
        <v>455</v>
      </c>
      <c r="E53" s="309" t="s">
        <v>456</v>
      </c>
      <c r="F53" s="310" t="s">
        <v>457</v>
      </c>
    </row>
    <row r="54" spans="1:6" s="300" customFormat="1" ht="22.5">
      <c r="A54" s="139" t="s">
        <v>466</v>
      </c>
      <c r="B54" s="311" t="s">
        <v>467</v>
      </c>
      <c r="C54" s="244" t="s">
        <v>255</v>
      </c>
      <c r="D54" s="312">
        <f>8*3</f>
        <v>24</v>
      </c>
      <c r="E54" s="313"/>
      <c r="F54" s="314">
        <f t="shared" ref="F54:F56" si="5">ROUND((D54*E54),2)</f>
        <v>0</v>
      </c>
    </row>
    <row r="55" spans="1:6" s="300" customFormat="1" ht="22.5">
      <c r="A55" s="252" t="s">
        <v>468</v>
      </c>
      <c r="B55" s="311" t="s">
        <v>469</v>
      </c>
      <c r="C55" s="244" t="s">
        <v>255</v>
      </c>
      <c r="D55" s="312">
        <v>16</v>
      </c>
      <c r="E55" s="313"/>
      <c r="F55" s="314">
        <f t="shared" si="5"/>
        <v>0</v>
      </c>
    </row>
    <row r="56" spans="1:6" s="300" customFormat="1" ht="22.5">
      <c r="A56" s="244" t="s">
        <v>470</v>
      </c>
      <c r="B56" s="315" t="s">
        <v>471</v>
      </c>
      <c r="C56" s="244" t="s">
        <v>255</v>
      </c>
      <c r="D56" s="312">
        <f>8*4</f>
        <v>32</v>
      </c>
      <c r="E56" s="316"/>
      <c r="F56" s="314">
        <f t="shared" si="5"/>
        <v>0</v>
      </c>
    </row>
    <row r="57" spans="1:6" s="300" customFormat="1" ht="11.25">
      <c r="A57" s="467" t="s">
        <v>457</v>
      </c>
      <c r="B57" s="467"/>
      <c r="C57" s="467"/>
      <c r="D57" s="467"/>
      <c r="E57" s="467"/>
      <c r="F57" s="317">
        <f>SUM(F54:F56)</f>
        <v>0</v>
      </c>
    </row>
    <row r="58" spans="1:6" s="300" customFormat="1" ht="11.25">
      <c r="A58" s="301"/>
      <c r="B58" s="301"/>
      <c r="C58" s="301"/>
      <c r="D58" s="301"/>
      <c r="E58" s="301"/>
      <c r="F58" s="302"/>
    </row>
    <row r="59" spans="1:6" s="300" customFormat="1" ht="11.25">
      <c r="A59" s="301"/>
      <c r="B59" s="301"/>
      <c r="C59" s="301"/>
      <c r="D59" s="301"/>
      <c r="E59" s="301"/>
      <c r="F59" s="302"/>
    </row>
    <row r="60" spans="1:6" s="300" customFormat="1" ht="11.25">
      <c r="A60" s="301"/>
      <c r="B60" s="301"/>
      <c r="C60" s="301"/>
      <c r="D60" s="301"/>
      <c r="E60" s="301"/>
      <c r="F60" s="302"/>
    </row>
    <row r="61" spans="1:6" s="300" customFormat="1" ht="11.25">
      <c r="A61" s="337"/>
      <c r="B61" s="301"/>
      <c r="C61" s="301"/>
      <c r="D61" s="301"/>
      <c r="E61" s="301"/>
      <c r="F61" s="305"/>
    </row>
    <row r="62" spans="1:6" s="300" customFormat="1" ht="11.25">
      <c r="A62" s="337"/>
      <c r="B62" s="301"/>
      <c r="C62" s="301"/>
      <c r="D62" s="301"/>
      <c r="E62" s="301"/>
      <c r="F62" s="305"/>
    </row>
    <row r="63" spans="1:6" s="300" customFormat="1" ht="11.25">
      <c r="A63" s="337"/>
      <c r="B63" s="301"/>
      <c r="C63" s="301"/>
      <c r="D63" s="301"/>
      <c r="E63" s="301"/>
      <c r="F63" s="305"/>
    </row>
  </sheetData>
  <mergeCells count="21">
    <mergeCell ref="A51:F51"/>
    <mergeCell ref="A52:F52"/>
    <mergeCell ref="A57:E57"/>
    <mergeCell ref="A41:F41"/>
    <mergeCell ref="A42:F42"/>
    <mergeCell ref="A49:E49"/>
    <mergeCell ref="A31:F31"/>
    <mergeCell ref="A39:E39"/>
    <mergeCell ref="A9:F9"/>
    <mergeCell ref="A10:F10"/>
    <mergeCell ref="A17:E17"/>
    <mergeCell ref="A32:F32"/>
    <mergeCell ref="B6:F6"/>
    <mergeCell ref="A19:F19"/>
    <mergeCell ref="A20:F20"/>
    <mergeCell ref="A29:E29"/>
    <mergeCell ref="B1:F1"/>
    <mergeCell ref="B2:F2"/>
    <mergeCell ref="B3:F3"/>
    <mergeCell ref="B4:F4"/>
    <mergeCell ref="B5:F5"/>
  </mergeCells>
  <pageMargins left="1.1811023622047245" right="0.39370078740157483" top="0.78740157480314965" bottom="0.78740157480314965" header="0.31496062992125984" footer="0.31496062992125984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J70"/>
  <sheetViews>
    <sheetView showGridLines="0" zoomScale="90" zoomScaleNormal="90" zoomScaleSheetLayoutView="100" workbookViewId="0">
      <selection activeCell="I13" sqref="I13"/>
    </sheetView>
  </sheetViews>
  <sheetFormatPr defaultColWidth="9.140625" defaultRowHeight="15"/>
  <cols>
    <col min="1" max="1" width="5.85546875" style="104" bestFit="1" customWidth="1"/>
    <col min="2" max="2" width="10.85546875" style="104" customWidth="1"/>
    <col min="3" max="3" width="21.28515625" style="104" customWidth="1"/>
    <col min="4" max="4" width="13" style="104" customWidth="1"/>
    <col min="5" max="5" width="17.42578125" style="104" customWidth="1"/>
    <col min="6" max="6" width="16.85546875" style="104" customWidth="1"/>
    <col min="7" max="7" width="16" style="104" customWidth="1"/>
    <col min="8" max="8" width="15.42578125" style="104" customWidth="1"/>
    <col min="9" max="9" width="15.28515625" style="104" customWidth="1"/>
    <col min="10" max="10" width="11.140625" style="104" bestFit="1" customWidth="1"/>
    <col min="11" max="16384" width="9.140625" style="104"/>
  </cols>
  <sheetData>
    <row r="1" spans="1:10">
      <c r="A1" s="199"/>
      <c r="B1" s="200"/>
      <c r="C1" s="475" t="s">
        <v>181</v>
      </c>
      <c r="D1" s="476"/>
      <c r="E1" s="476"/>
      <c r="F1" s="476"/>
      <c r="G1" s="476"/>
      <c r="H1" s="476"/>
      <c r="I1" s="477"/>
      <c r="J1" s="103"/>
    </row>
    <row r="2" spans="1:10" ht="54" customHeight="1">
      <c r="A2" s="201"/>
      <c r="B2" s="105"/>
      <c r="C2" s="480" t="s">
        <v>216</v>
      </c>
      <c r="D2" s="481"/>
      <c r="E2" s="481"/>
      <c r="F2" s="481"/>
      <c r="G2" s="481"/>
      <c r="H2" s="481"/>
      <c r="I2" s="478"/>
      <c r="J2" s="103"/>
    </row>
    <row r="3" spans="1:10">
      <c r="A3" s="202"/>
      <c r="B3" s="106"/>
      <c r="C3" s="482" t="s">
        <v>182</v>
      </c>
      <c r="D3" s="483"/>
      <c r="E3" s="483"/>
      <c r="F3" s="483"/>
      <c r="G3" s="483"/>
      <c r="H3" s="483"/>
      <c r="I3" s="478"/>
      <c r="J3" s="103"/>
    </row>
    <row r="4" spans="1:10">
      <c r="A4" s="203"/>
      <c r="B4" s="204"/>
      <c r="C4" s="484" t="str">
        <f>VRPS!C6</f>
        <v>DATA BASE - REGIÃO: SABESP Jan/26; SINAPI/SP Jan/26; CDHU Jan/26; SBC Fev/26 ; PNPC</v>
      </c>
      <c r="D4" s="485"/>
      <c r="E4" s="485"/>
      <c r="F4" s="485"/>
      <c r="G4" s="485"/>
      <c r="H4" s="485"/>
      <c r="I4" s="479"/>
      <c r="J4" s="103"/>
    </row>
    <row r="5" spans="1:10">
      <c r="A5" s="205"/>
      <c r="B5" s="206"/>
      <c r="C5" s="206"/>
      <c r="D5" s="206"/>
      <c r="E5" s="206"/>
      <c r="F5" s="206"/>
      <c r="G5" s="206"/>
      <c r="H5" s="207"/>
      <c r="I5" s="208"/>
      <c r="J5" s="103"/>
    </row>
    <row r="6" spans="1:10" ht="22.5" customHeight="1">
      <c r="A6" s="209" t="s">
        <v>1</v>
      </c>
      <c r="B6" s="474" t="s">
        <v>183</v>
      </c>
      <c r="C6" s="474"/>
      <c r="D6" s="210" t="s">
        <v>184</v>
      </c>
      <c r="E6" s="195" t="s">
        <v>46</v>
      </c>
      <c r="F6" s="195" t="s">
        <v>47</v>
      </c>
      <c r="G6" s="195" t="s">
        <v>48</v>
      </c>
      <c r="H6" s="195" t="s">
        <v>49</v>
      </c>
      <c r="I6" s="211" t="s">
        <v>185</v>
      </c>
      <c r="J6" s="107"/>
    </row>
    <row r="7" spans="1:10" ht="27" customHeight="1">
      <c r="A7" s="486">
        <v>1</v>
      </c>
      <c r="B7" s="487" t="s">
        <v>122</v>
      </c>
      <c r="C7" s="487"/>
      <c r="D7" s="488">
        <f>Resumo!H11</f>
        <v>0</v>
      </c>
      <c r="E7" s="177">
        <f>$D$7/4</f>
        <v>0</v>
      </c>
      <c r="F7" s="212">
        <f t="shared" ref="F7:H7" si="0">$D$7/4</f>
        <v>0</v>
      </c>
      <c r="G7" s="212">
        <f t="shared" si="0"/>
        <v>0</v>
      </c>
      <c r="H7" s="212">
        <f t="shared" si="0"/>
        <v>0</v>
      </c>
      <c r="I7" s="489">
        <f>SUM(E7:H7)</f>
        <v>0</v>
      </c>
      <c r="J7" s="107"/>
    </row>
    <row r="8" spans="1:10" ht="6" customHeight="1">
      <c r="A8" s="486"/>
      <c r="B8" s="487"/>
      <c r="C8" s="487"/>
      <c r="D8" s="488"/>
      <c r="E8" s="109"/>
      <c r="F8" s="109"/>
      <c r="G8" s="109"/>
      <c r="H8" s="109"/>
      <c r="I8" s="489"/>
      <c r="J8" s="107"/>
    </row>
    <row r="9" spans="1:10" ht="22.5" customHeight="1">
      <c r="A9" s="486">
        <v>2</v>
      </c>
      <c r="B9" s="487" t="s">
        <v>217</v>
      </c>
      <c r="C9" s="487"/>
      <c r="D9" s="488">
        <f>Resumo!H12</f>
        <v>0</v>
      </c>
      <c r="E9" s="177">
        <f>$D$9/4</f>
        <v>0</v>
      </c>
      <c r="F9" s="212">
        <f t="shared" ref="F9:H9" si="1">$D$9/4</f>
        <v>0</v>
      </c>
      <c r="G9" s="212">
        <f t="shared" si="1"/>
        <v>0</v>
      </c>
      <c r="H9" s="212">
        <f t="shared" si="1"/>
        <v>0</v>
      </c>
      <c r="I9" s="489">
        <f>SUM(E9:H9)</f>
        <v>0</v>
      </c>
      <c r="J9" s="108"/>
    </row>
    <row r="10" spans="1:10" ht="6" customHeight="1">
      <c r="A10" s="486"/>
      <c r="B10" s="487"/>
      <c r="C10" s="487"/>
      <c r="D10" s="488"/>
      <c r="E10" s="109"/>
      <c r="F10" s="109"/>
      <c r="G10" s="109"/>
      <c r="H10" s="109"/>
      <c r="I10" s="489"/>
      <c r="J10" s="108"/>
    </row>
    <row r="11" spans="1:10" ht="24" customHeight="1">
      <c r="A11" s="486">
        <v>3</v>
      </c>
      <c r="B11" s="487" t="s">
        <v>235</v>
      </c>
      <c r="C11" s="487"/>
      <c r="D11" s="488">
        <f>Resumo!H13</f>
        <v>0</v>
      </c>
      <c r="E11" s="177">
        <f>$D$11/4</f>
        <v>0</v>
      </c>
      <c r="F11" s="212">
        <f t="shared" ref="F11:H11" si="2">$D$11/4</f>
        <v>0</v>
      </c>
      <c r="G11" s="212">
        <f t="shared" si="2"/>
        <v>0</v>
      </c>
      <c r="H11" s="212">
        <f t="shared" si="2"/>
        <v>0</v>
      </c>
      <c r="I11" s="489">
        <f>SUM(E11:H11)</f>
        <v>0</v>
      </c>
      <c r="J11" s="108"/>
    </row>
    <row r="12" spans="1:10" ht="6" customHeight="1">
      <c r="A12" s="486"/>
      <c r="B12" s="487"/>
      <c r="C12" s="487"/>
      <c r="D12" s="488"/>
      <c r="E12" s="109"/>
      <c r="F12" s="109"/>
      <c r="G12" s="109"/>
      <c r="H12" s="109"/>
      <c r="I12" s="489"/>
      <c r="J12" s="108"/>
    </row>
    <row r="13" spans="1:10">
      <c r="A13" s="490" t="s">
        <v>186</v>
      </c>
      <c r="B13" s="490"/>
      <c r="C13" s="490"/>
      <c r="D13" s="196">
        <f>SUM(D7:D12)</f>
        <v>0</v>
      </c>
      <c r="E13" s="196">
        <f>(SUM(E7:E11))</f>
        <v>0</v>
      </c>
      <c r="F13" s="196">
        <f>(SUM(F7:F11))</f>
        <v>0</v>
      </c>
      <c r="G13" s="196">
        <f>(SUM(G7:G11))</f>
        <v>0</v>
      </c>
      <c r="H13" s="196">
        <f>(SUM(H7:H11))</f>
        <v>0</v>
      </c>
      <c r="I13" s="197">
        <f>SUM(E13:H13)+0.01</f>
        <v>0.01</v>
      </c>
      <c r="J13" s="110"/>
    </row>
    <row r="14" spans="1:10" ht="15.75" customHeight="1">
      <c r="A14" s="490" t="s">
        <v>187</v>
      </c>
      <c r="B14" s="490"/>
      <c r="C14" s="490"/>
      <c r="D14" s="198">
        <v>1</v>
      </c>
      <c r="E14" s="111">
        <f>E13/$I$13</f>
        <v>0</v>
      </c>
      <c r="F14" s="111">
        <f>F13/$I$13</f>
        <v>0</v>
      </c>
      <c r="G14" s="111">
        <f>G13/$I$13</f>
        <v>0</v>
      </c>
      <c r="H14" s="111">
        <f>H13/$I$13</f>
        <v>0</v>
      </c>
      <c r="I14" s="111">
        <f>SUM(E14:H14)</f>
        <v>0</v>
      </c>
      <c r="J14" s="108"/>
    </row>
    <row r="15" spans="1:10">
      <c r="A15" s="112"/>
      <c r="B15" s="103"/>
      <c r="C15" s="103"/>
      <c r="D15" s="103"/>
      <c r="E15" s="103"/>
      <c r="F15" s="103"/>
      <c r="G15" s="103"/>
      <c r="H15" s="103"/>
      <c r="I15" s="103"/>
      <c r="J15" s="103"/>
    </row>
    <row r="16" spans="1:10" ht="11.25" customHeight="1">
      <c r="A16" s="112"/>
      <c r="B16" s="113"/>
      <c r="C16" s="103"/>
      <c r="D16" s="103"/>
      <c r="E16" s="103"/>
      <c r="F16" s="103"/>
      <c r="G16" s="103"/>
      <c r="H16" s="103"/>
      <c r="I16" s="103"/>
      <c r="J16" s="103"/>
    </row>
    <row r="17" spans="1:10" ht="11.25" customHeight="1">
      <c r="A17" s="112"/>
      <c r="B17" s="113"/>
      <c r="C17" s="103"/>
      <c r="D17" s="103"/>
      <c r="E17" s="103"/>
      <c r="F17" s="103"/>
      <c r="G17" s="103"/>
      <c r="H17" s="103"/>
      <c r="I17" s="114"/>
      <c r="J17" s="103"/>
    </row>
    <row r="18" spans="1:10" ht="11.25" customHeight="1">
      <c r="A18" s="112"/>
      <c r="B18" s="115"/>
      <c r="C18" s="103"/>
      <c r="D18" s="103"/>
      <c r="E18" s="103"/>
      <c r="F18" s="103"/>
      <c r="G18" s="103"/>
      <c r="H18" s="103"/>
      <c r="I18" s="114"/>
      <c r="J18" s="103"/>
    </row>
    <row r="19" spans="1:10">
      <c r="A19" s="112"/>
      <c r="B19" s="103"/>
      <c r="C19" s="103"/>
      <c r="D19" s="103"/>
      <c r="E19" s="103"/>
      <c r="F19" s="103"/>
      <c r="G19" s="103"/>
      <c r="H19" s="103"/>
      <c r="I19" s="114"/>
      <c r="J19" s="103"/>
    </row>
    <row r="20" spans="1:10" ht="13.5" customHeight="1">
      <c r="A20" s="112"/>
      <c r="C20" s="103"/>
      <c r="D20" s="103"/>
      <c r="E20" s="103"/>
      <c r="F20" s="103"/>
      <c r="G20" s="103"/>
      <c r="H20" s="103"/>
      <c r="I20" s="114"/>
      <c r="J20" s="103"/>
    </row>
    <row r="21" spans="1:10" ht="13.5" customHeight="1">
      <c r="A21" s="112"/>
      <c r="C21" s="103"/>
      <c r="D21" s="103"/>
      <c r="E21" s="103"/>
      <c r="F21" s="103"/>
      <c r="G21" s="103"/>
      <c r="H21" s="103"/>
      <c r="I21" s="103"/>
    </row>
    <row r="22" spans="1:10" ht="13.5" customHeight="1">
      <c r="A22" s="112"/>
      <c r="C22" s="103"/>
      <c r="D22" s="103"/>
      <c r="E22" s="103"/>
      <c r="F22" s="103"/>
      <c r="G22" s="103"/>
      <c r="H22" s="116"/>
      <c r="I22" s="117"/>
    </row>
    <row r="23" spans="1:10">
      <c r="A23" s="112"/>
      <c r="B23" s="103"/>
      <c r="C23" s="103"/>
      <c r="D23" s="103"/>
      <c r="E23" s="103"/>
      <c r="F23" s="103"/>
      <c r="G23" s="103"/>
      <c r="H23" s="103"/>
      <c r="I23" s="103"/>
    </row>
    <row r="24" spans="1:10">
      <c r="A24" s="112"/>
      <c r="B24" s="103"/>
      <c r="C24" s="103"/>
      <c r="D24" s="103"/>
      <c r="E24" s="103"/>
      <c r="F24" s="103"/>
      <c r="G24" s="103"/>
      <c r="H24" s="103"/>
      <c r="I24" s="103"/>
    </row>
    <row r="25" spans="1:10">
      <c r="A25" s="112"/>
      <c r="B25" s="103"/>
      <c r="C25" s="103"/>
      <c r="D25" s="103"/>
      <c r="E25" s="103"/>
      <c r="F25" s="103"/>
      <c r="G25" s="103"/>
      <c r="H25" s="103"/>
      <c r="I25" s="103"/>
    </row>
    <row r="26" spans="1:10">
      <c r="A26" s="112"/>
      <c r="B26" s="103"/>
      <c r="C26" s="103"/>
      <c r="D26" s="103"/>
      <c r="E26" s="103"/>
      <c r="F26" s="103"/>
      <c r="G26" s="103"/>
      <c r="H26" s="103"/>
      <c r="I26" s="103"/>
    </row>
    <row r="27" spans="1:10">
      <c r="A27" s="112"/>
      <c r="B27" s="103"/>
      <c r="C27" s="103"/>
      <c r="D27" s="103"/>
      <c r="E27" s="103"/>
      <c r="F27" s="103"/>
      <c r="G27" s="103"/>
      <c r="H27" s="103"/>
      <c r="I27" s="103"/>
    </row>
    <row r="28" spans="1:10">
      <c r="A28" s="112"/>
      <c r="B28" s="103"/>
      <c r="C28" s="103"/>
      <c r="D28" s="103"/>
      <c r="E28" s="103"/>
      <c r="F28" s="103"/>
      <c r="G28" s="103"/>
      <c r="H28" s="103"/>
      <c r="I28" s="103"/>
    </row>
    <row r="29" spans="1:10">
      <c r="A29" s="112"/>
      <c r="B29" s="103"/>
      <c r="C29" s="103"/>
      <c r="D29" s="103"/>
      <c r="E29" s="103"/>
      <c r="F29" s="103"/>
      <c r="G29" s="103"/>
      <c r="H29" s="102"/>
      <c r="I29" s="103"/>
    </row>
    <row r="30" spans="1:10">
      <c r="A30" s="112"/>
      <c r="B30" s="103"/>
      <c r="C30" s="103"/>
      <c r="D30" s="103"/>
      <c r="E30" s="103"/>
      <c r="F30" s="103"/>
      <c r="G30" s="103"/>
      <c r="H30" s="102"/>
      <c r="I30" s="103"/>
    </row>
    <row r="31" spans="1:10">
      <c r="A31" s="112"/>
      <c r="B31" s="103"/>
      <c r="C31" s="103"/>
      <c r="D31" s="103"/>
      <c r="E31" s="103"/>
      <c r="F31" s="103"/>
      <c r="G31" s="103"/>
      <c r="H31" s="102"/>
      <c r="I31" s="103"/>
    </row>
    <row r="32" spans="1:10">
      <c r="A32" s="112"/>
      <c r="B32" s="103"/>
      <c r="C32" s="103"/>
      <c r="D32" s="103"/>
      <c r="E32" s="103"/>
      <c r="F32" s="103"/>
      <c r="G32" s="103"/>
      <c r="H32" s="101"/>
      <c r="I32" s="103"/>
    </row>
    <row r="33" spans="1:9">
      <c r="A33" s="112"/>
      <c r="B33" s="103"/>
      <c r="C33" s="103"/>
      <c r="D33" s="103"/>
      <c r="E33" s="103"/>
      <c r="F33" s="103"/>
      <c r="G33" s="103"/>
      <c r="H33" s="101"/>
      <c r="I33" s="103"/>
    </row>
    <row r="34" spans="1:9">
      <c r="A34" s="112"/>
      <c r="B34" s="103"/>
      <c r="C34" s="103"/>
      <c r="D34" s="103"/>
      <c r="E34" s="103"/>
      <c r="F34" s="103"/>
      <c r="G34" s="103"/>
      <c r="H34" s="101"/>
      <c r="I34" s="103"/>
    </row>
    <row r="35" spans="1:9">
      <c r="A35" s="112"/>
      <c r="B35" s="103"/>
      <c r="C35" s="103"/>
      <c r="D35" s="103"/>
      <c r="E35" s="103"/>
      <c r="F35" s="103"/>
      <c r="G35" s="103"/>
      <c r="H35" s="101"/>
      <c r="I35" s="103"/>
    </row>
    <row r="36" spans="1:9">
      <c r="A36" s="112"/>
      <c r="B36" s="103"/>
      <c r="C36" s="103"/>
      <c r="D36" s="103"/>
      <c r="E36" s="103"/>
      <c r="F36" s="103"/>
      <c r="G36" s="103"/>
      <c r="H36" s="101"/>
      <c r="I36" s="103"/>
    </row>
    <row r="37" spans="1:9">
      <c r="A37" s="112"/>
      <c r="H37" s="101"/>
    </row>
    <row r="38" spans="1:9">
      <c r="A38" s="112"/>
      <c r="H38" s="101"/>
    </row>
    <row r="39" spans="1:9">
      <c r="A39" s="112"/>
      <c r="H39" s="102"/>
    </row>
    <row r="40" spans="1:9">
      <c r="A40" s="112"/>
      <c r="H40" s="102"/>
    </row>
    <row r="41" spans="1:9">
      <c r="A41" s="112"/>
      <c r="H41" s="102"/>
    </row>
    <row r="42" spans="1:9">
      <c r="A42" s="112"/>
    </row>
    <row r="43" spans="1:9">
      <c r="A43" s="112"/>
    </row>
    <row r="44" spans="1:9">
      <c r="A44" s="112"/>
    </row>
    <row r="45" spans="1:9">
      <c r="A45" s="112"/>
    </row>
    <row r="46" spans="1:9">
      <c r="A46" s="112"/>
    </row>
    <row r="47" spans="1:9">
      <c r="A47" s="112"/>
    </row>
    <row r="48" spans="1:9">
      <c r="A48" s="112"/>
    </row>
    <row r="49" spans="1:1">
      <c r="A49" s="112"/>
    </row>
    <row r="50" spans="1:1">
      <c r="A50" s="112"/>
    </row>
    <row r="51" spans="1:1">
      <c r="A51" s="112"/>
    </row>
    <row r="52" spans="1:1">
      <c r="A52" s="112"/>
    </row>
    <row r="53" spans="1:1">
      <c r="A53" s="112"/>
    </row>
    <row r="54" spans="1:1">
      <c r="A54" s="112"/>
    </row>
    <row r="55" spans="1:1">
      <c r="A55" s="112"/>
    </row>
    <row r="56" spans="1:1">
      <c r="A56" s="112"/>
    </row>
    <row r="57" spans="1:1">
      <c r="A57" s="112"/>
    </row>
    <row r="58" spans="1:1">
      <c r="A58" s="112"/>
    </row>
    <row r="59" spans="1:1">
      <c r="A59" s="112"/>
    </row>
    <row r="60" spans="1:1">
      <c r="A60" s="112"/>
    </row>
    <row r="61" spans="1:1">
      <c r="A61" s="112"/>
    </row>
    <row r="62" spans="1:1">
      <c r="A62" s="112"/>
    </row>
    <row r="63" spans="1:1">
      <c r="A63" s="112"/>
    </row>
    <row r="64" spans="1:1">
      <c r="A64" s="112"/>
    </row>
    <row r="65" spans="1:1">
      <c r="A65" s="112"/>
    </row>
    <row r="66" spans="1:1">
      <c r="A66" s="112"/>
    </row>
    <row r="67" spans="1:1">
      <c r="A67" s="112"/>
    </row>
    <row r="68" spans="1:1">
      <c r="A68" s="112"/>
    </row>
    <row r="69" spans="1:1">
      <c r="A69" s="112"/>
    </row>
    <row r="70" spans="1:1">
      <c r="A70" s="112"/>
    </row>
  </sheetData>
  <mergeCells count="20">
    <mergeCell ref="A14:C14"/>
    <mergeCell ref="A13:C13"/>
    <mergeCell ref="A11:A12"/>
    <mergeCell ref="B11:C12"/>
    <mergeCell ref="I11:I12"/>
    <mergeCell ref="D11:D12"/>
    <mergeCell ref="A9:A10"/>
    <mergeCell ref="B9:C10"/>
    <mergeCell ref="D9:D10"/>
    <mergeCell ref="I9:I10"/>
    <mergeCell ref="A7:A8"/>
    <mergeCell ref="B7:C8"/>
    <mergeCell ref="D7:D8"/>
    <mergeCell ref="I7:I8"/>
    <mergeCell ref="B6:C6"/>
    <mergeCell ref="C1:H1"/>
    <mergeCell ref="I1:I4"/>
    <mergeCell ref="C2:H2"/>
    <mergeCell ref="C3:H3"/>
    <mergeCell ref="C4:H4"/>
  </mergeCells>
  <pageMargins left="0.98425196850393704" right="0.98425196850393704" top="0.98425196850393704" bottom="0.98425196850393704" header="0.51181102362204722" footer="0.51181102362204722"/>
  <pageSetup paperSize="9" scale="95" orientation="landscape" r:id="rId1"/>
  <headerFooter>
    <oddFooter>&amp;C&amp;"Arial,Itálico"&amp;8Página 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6"/>
  <sheetViews>
    <sheetView showGridLines="0" zoomScaleNormal="100" workbookViewId="0">
      <selection activeCell="C22" sqref="C22"/>
    </sheetView>
  </sheetViews>
  <sheetFormatPr defaultColWidth="9.140625" defaultRowHeight="11.25"/>
  <cols>
    <col min="1" max="1" width="6.42578125" style="124" customWidth="1"/>
    <col min="2" max="2" width="41.28515625" style="120" customWidth="1"/>
    <col min="3" max="4" width="12.7109375" style="120" customWidth="1"/>
    <col min="5" max="5" width="13.7109375" style="120" customWidth="1"/>
    <col min="6" max="6" width="10.7109375" style="124" customWidth="1"/>
    <col min="7" max="16384" width="9.140625" style="120"/>
  </cols>
  <sheetData>
    <row r="1" spans="1:6" s="118" customFormat="1" ht="11.25" customHeight="1">
      <c r="A1" s="494" t="str">
        <f>Resumo!B1</f>
        <v>____/___/2026</v>
      </c>
      <c r="B1" s="495"/>
      <c r="C1" s="495"/>
      <c r="D1" s="495"/>
      <c r="E1" s="495"/>
      <c r="F1" s="496"/>
    </row>
    <row r="2" spans="1:6" s="118" customFormat="1" ht="15.75">
      <c r="A2" s="154"/>
      <c r="B2" s="497" t="s">
        <v>156</v>
      </c>
      <c r="C2" s="497"/>
      <c r="D2" s="497"/>
      <c r="E2" s="497"/>
      <c r="F2" s="498"/>
    </row>
    <row r="3" spans="1:6" s="118" customFormat="1" ht="45.75" customHeight="1">
      <c r="A3" s="154"/>
      <c r="B3" s="499" t="s">
        <v>216</v>
      </c>
      <c r="C3" s="499"/>
      <c r="D3" s="499"/>
      <c r="E3" s="499"/>
      <c r="F3" s="500"/>
    </row>
    <row r="4" spans="1:6" s="118" customFormat="1" ht="15.75">
      <c r="A4" s="154"/>
      <c r="B4" s="497" t="str">
        <f>[1]Frezarim!C5</f>
        <v>Orçamento Sintético Global</v>
      </c>
      <c r="C4" s="497"/>
      <c r="D4" s="497"/>
      <c r="E4" s="497"/>
      <c r="F4" s="498"/>
    </row>
    <row r="5" spans="1:6" s="118" customFormat="1" ht="15.75">
      <c r="A5" s="154"/>
      <c r="B5" s="501" t="s">
        <v>188</v>
      </c>
      <c r="C5" s="501"/>
      <c r="D5" s="501"/>
      <c r="E5" s="501"/>
      <c r="F5" s="502"/>
    </row>
    <row r="6" spans="1:6" s="118" customFormat="1" ht="10.5" customHeight="1">
      <c r="A6" s="155"/>
      <c r="B6" s="119"/>
      <c r="C6" s="492"/>
      <c r="D6" s="492"/>
      <c r="E6" s="492"/>
      <c r="F6" s="493"/>
    </row>
    <row r="7" spans="1:6">
      <c r="A7" s="159"/>
      <c r="B7" s="160"/>
      <c r="C7" s="160"/>
      <c r="D7" s="160"/>
      <c r="E7" s="160"/>
      <c r="F7" s="161"/>
    </row>
    <row r="8" spans="1:6" ht="17.25" customHeight="1">
      <c r="A8" s="151" t="s">
        <v>0</v>
      </c>
      <c r="B8" s="156" t="s">
        <v>132</v>
      </c>
      <c r="C8" s="157"/>
      <c r="D8" s="157"/>
      <c r="E8" s="157"/>
      <c r="F8" s="491" t="s">
        <v>189</v>
      </c>
    </row>
    <row r="9" spans="1:6">
      <c r="A9" s="121" t="s">
        <v>1</v>
      </c>
      <c r="B9" s="121" t="s">
        <v>190</v>
      </c>
      <c r="C9" s="167" t="s">
        <v>212</v>
      </c>
      <c r="D9" s="167" t="s">
        <v>237</v>
      </c>
      <c r="E9" s="167" t="s">
        <v>308</v>
      </c>
      <c r="F9" s="491"/>
    </row>
    <row r="10" spans="1:6">
      <c r="A10" s="123" t="s">
        <v>4</v>
      </c>
      <c r="B10" s="213" t="s">
        <v>198</v>
      </c>
      <c r="C10" s="158">
        <v>166</v>
      </c>
      <c r="D10" s="158">
        <v>653</v>
      </c>
      <c r="E10" s="158"/>
      <c r="F10" s="158">
        <f>MEDIAN(C10:E10)</f>
        <v>409.5</v>
      </c>
    </row>
    <row r="11" spans="1:6">
      <c r="A11" s="123" t="s">
        <v>123</v>
      </c>
      <c r="B11" s="213" t="s">
        <v>199</v>
      </c>
      <c r="C11" s="158">
        <v>193</v>
      </c>
      <c r="D11" s="158">
        <v>755</v>
      </c>
      <c r="E11" s="158"/>
      <c r="F11" s="158">
        <f>MEDIAN(C11:E11)</f>
        <v>474</v>
      </c>
    </row>
    <row r="12" spans="1:6">
      <c r="A12" s="123" t="s">
        <v>124</v>
      </c>
      <c r="B12" s="213" t="s">
        <v>200</v>
      </c>
      <c r="C12" s="158">
        <v>215</v>
      </c>
      <c r="D12" s="158">
        <v>962</v>
      </c>
      <c r="E12" s="158"/>
      <c r="F12" s="158">
        <f>MEDIAN(C12:E12)</f>
        <v>588.5</v>
      </c>
    </row>
    <row r="13" spans="1:6">
      <c r="A13" s="123" t="s">
        <v>125</v>
      </c>
      <c r="B13" s="213" t="s">
        <v>201</v>
      </c>
      <c r="C13" s="158">
        <v>254</v>
      </c>
      <c r="D13" s="158">
        <v>1070</v>
      </c>
      <c r="E13" s="158"/>
      <c r="F13" s="158">
        <f>MEDIAN(C13:E13)</f>
        <v>662</v>
      </c>
    </row>
    <row r="14" spans="1:6">
      <c r="A14" s="123" t="s">
        <v>144</v>
      </c>
      <c r="B14" s="213" t="s">
        <v>202</v>
      </c>
      <c r="C14" s="158">
        <v>525</v>
      </c>
      <c r="D14" s="158">
        <v>1182</v>
      </c>
      <c r="E14" s="158"/>
      <c r="F14" s="158">
        <f t="shared" ref="F14:F16" si="0">MEDIAN(C14:E14)</f>
        <v>853.5</v>
      </c>
    </row>
    <row r="15" spans="1:6" s="135" customFormat="1">
      <c r="A15" s="123" t="s">
        <v>192</v>
      </c>
      <c r="B15" s="213" t="s">
        <v>203</v>
      </c>
      <c r="C15" s="158">
        <v>558.6</v>
      </c>
      <c r="D15" s="158">
        <v>1290</v>
      </c>
      <c r="E15" s="158"/>
      <c r="F15" s="158">
        <f t="shared" si="0"/>
        <v>924.3</v>
      </c>
    </row>
    <row r="16" spans="1:6" s="135" customFormat="1">
      <c r="A16" s="123" t="s">
        <v>193</v>
      </c>
      <c r="B16" s="213" t="s">
        <v>204</v>
      </c>
      <c r="C16" s="158">
        <v>890</v>
      </c>
      <c r="D16" s="158">
        <v>1524</v>
      </c>
      <c r="E16" s="158"/>
      <c r="F16" s="158">
        <f t="shared" si="0"/>
        <v>1207</v>
      </c>
    </row>
    <row r="17" spans="1:6" s="135" customFormat="1" ht="22.5">
      <c r="A17" s="121" t="s">
        <v>1</v>
      </c>
      <c r="B17" s="175" t="s">
        <v>190</v>
      </c>
      <c r="C17" s="168" t="s">
        <v>208</v>
      </c>
      <c r="D17" s="158"/>
      <c r="E17" s="166"/>
      <c r="F17" s="163" t="s">
        <v>189</v>
      </c>
    </row>
    <row r="18" spans="1:6" s="135" customFormat="1">
      <c r="A18" s="123" t="s">
        <v>207</v>
      </c>
      <c r="B18" s="213" t="s">
        <v>215</v>
      </c>
      <c r="C18" s="158">
        <v>12881</v>
      </c>
      <c r="E18" s="158"/>
      <c r="F18" s="158">
        <f>MEDIAN(C18:E18)</f>
        <v>12881</v>
      </c>
    </row>
    <row r="19" spans="1:6" s="135" customFormat="1" ht="22.5">
      <c r="A19" s="121" t="s">
        <v>1</v>
      </c>
      <c r="B19" s="175" t="s">
        <v>190</v>
      </c>
      <c r="C19" s="167" t="s">
        <v>211</v>
      </c>
      <c r="D19" s="166"/>
      <c r="E19" s="166"/>
      <c r="F19" s="163" t="s">
        <v>189</v>
      </c>
    </row>
    <row r="20" spans="1:6" s="135" customFormat="1">
      <c r="A20" s="123" t="s">
        <v>194</v>
      </c>
      <c r="B20" s="162" t="s">
        <v>131</v>
      </c>
      <c r="C20" s="158">
        <v>34.82</v>
      </c>
      <c r="D20" s="174"/>
      <c r="E20" s="174"/>
      <c r="F20" s="158">
        <f t="shared" ref="F20" si="1">MEDIAN(C20:E20)</f>
        <v>34.82</v>
      </c>
    </row>
    <row r="21" spans="1:6" s="135" customFormat="1" ht="11.25" customHeight="1">
      <c r="A21" s="151" t="s">
        <v>7</v>
      </c>
      <c r="B21" s="156" t="s">
        <v>133</v>
      </c>
      <c r="C21" s="157"/>
      <c r="D21" s="157"/>
      <c r="E21" s="157"/>
      <c r="F21" s="176" t="s">
        <v>189</v>
      </c>
    </row>
    <row r="22" spans="1:6" s="135" customFormat="1" ht="22.5">
      <c r="A22" s="121" t="s">
        <v>1</v>
      </c>
      <c r="B22" s="121" t="s">
        <v>190</v>
      </c>
      <c r="C22" s="167" t="s">
        <v>210</v>
      </c>
      <c r="D22" s="166"/>
      <c r="E22" s="166"/>
      <c r="F22" s="163" t="s">
        <v>189</v>
      </c>
    </row>
    <row r="23" spans="1:6" s="135" customFormat="1" ht="22.5">
      <c r="A23" s="164" t="s">
        <v>9</v>
      </c>
      <c r="B23" s="165" t="s">
        <v>209</v>
      </c>
      <c r="C23" s="158">
        <v>4103.3900000000003</v>
      </c>
      <c r="D23" s="158"/>
      <c r="E23" s="158"/>
      <c r="F23" s="158">
        <f t="shared" ref="F23" si="2">MEDIAN(C23:E23)</f>
        <v>4103.3900000000003</v>
      </c>
    </row>
    <row r="24" spans="1:6" s="135" customFormat="1" ht="11.25" customHeight="1">
      <c r="A24" s="151" t="s">
        <v>16</v>
      </c>
      <c r="B24" s="156" t="s">
        <v>134</v>
      </c>
      <c r="C24" s="157"/>
      <c r="D24" s="157"/>
      <c r="E24" s="157"/>
      <c r="F24" s="491" t="s">
        <v>189</v>
      </c>
    </row>
    <row r="25" spans="1:6" s="135" customFormat="1">
      <c r="A25" s="121" t="s">
        <v>1</v>
      </c>
      <c r="B25" s="121" t="s">
        <v>190</v>
      </c>
      <c r="C25" s="122" t="s">
        <v>208</v>
      </c>
      <c r="D25" s="166" t="s">
        <v>206</v>
      </c>
      <c r="E25" s="166" t="s">
        <v>206</v>
      </c>
      <c r="F25" s="491"/>
    </row>
    <row r="26" spans="1:6" s="135" customFormat="1" ht="17.25" customHeight="1">
      <c r="A26" s="136" t="s">
        <v>135</v>
      </c>
      <c r="B26" s="213" t="s">
        <v>205</v>
      </c>
      <c r="C26" s="158">
        <v>24254</v>
      </c>
      <c r="D26" s="158"/>
      <c r="E26" s="158"/>
      <c r="F26" s="158">
        <f t="shared" ref="F26" si="3">MEDIAN(C26:E26)</f>
        <v>24254</v>
      </c>
    </row>
  </sheetData>
  <mergeCells count="8">
    <mergeCell ref="F24:F25"/>
    <mergeCell ref="F8:F9"/>
    <mergeCell ref="C6:F6"/>
    <mergeCell ref="A1:F1"/>
    <mergeCell ref="B2:F2"/>
    <mergeCell ref="B3:F3"/>
    <mergeCell ref="B4:F4"/>
    <mergeCell ref="B5:F5"/>
  </mergeCells>
  <pageMargins left="0.511811024" right="0.511811024" top="0.78740157499999996" bottom="0.78740157499999996" header="0.31496062000000002" footer="0.31496062000000002"/>
  <pageSetup paperSize="9" scale="9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E56CE0A-F421-4532-B0AC-1514287BEDD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9</vt:i4>
      </vt:variant>
      <vt:variant>
        <vt:lpstr>Intervalos nomeados</vt:lpstr>
      </vt:variant>
      <vt:variant>
        <vt:i4>9</vt:i4>
      </vt:variant>
    </vt:vector>
  </HeadingPairs>
  <TitlesOfParts>
    <vt:vector size="18" baseType="lpstr">
      <vt:lpstr>CRONOGRAMA FÍSICO-FINANCEIRO</vt:lpstr>
      <vt:lpstr>BDI </vt:lpstr>
      <vt:lpstr>Resumo</vt:lpstr>
      <vt:lpstr>CANTEIRO</vt:lpstr>
      <vt:lpstr>MACROS</vt:lpstr>
      <vt:lpstr>VRPS</vt:lpstr>
      <vt:lpstr>Composições</vt:lpstr>
      <vt:lpstr>Cronograma </vt:lpstr>
      <vt:lpstr>Cotação</vt:lpstr>
      <vt:lpstr>'BDI '!Area_de_impressao</vt:lpstr>
      <vt:lpstr>CANTEIRO!Area_de_impressao</vt:lpstr>
      <vt:lpstr>Composições!Area_de_impressao</vt:lpstr>
      <vt:lpstr>'Cronograma '!Area_de_impressao</vt:lpstr>
      <vt:lpstr>'CRONOGRAMA FÍSICO-FINANCEIRO'!Area_de_impressao</vt:lpstr>
      <vt:lpstr>MACROS!Area_de_impressao</vt:lpstr>
      <vt:lpstr>VRPS!Area_de_impressao</vt:lpstr>
      <vt:lpstr>'Cronograma '!Titulos_de_impressao</vt:lpstr>
      <vt:lpstr>'CRONOGRAMA FÍSICO-FINANCEIRO'!Titulos_de_impressao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Suzana Maria de Oliveira</dc:creator>
  <cp:lastModifiedBy>d1309</cp:lastModifiedBy>
  <cp:revision>1</cp:revision>
  <cp:lastPrinted>2026-04-06T12:15:12Z</cp:lastPrinted>
  <dcterms:created xsi:type="dcterms:W3CDTF">2016-04-11T12:32:44Z</dcterms:created>
  <dcterms:modified xsi:type="dcterms:W3CDTF">2026-05-26T10:52:13Z</dcterms:modified>
  <dc:language>pt-BR</dc:language>
</cp:coreProperties>
</file>